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harts/chart8.xml" ContentType="application/vnd.openxmlformats-officedocument.drawingml.chart+xml"/>
  <Override PartName="/xl/drawings/drawing6.xml" ContentType="application/vnd.openxmlformats-officedocument.drawing+xml"/>
  <Override PartName="/xl/charts/chart9.xml" ContentType="application/vnd.openxmlformats-officedocument.drawingml.chart+xml"/>
  <Override PartName="/xl/charts/chart10.xml" ContentType="application/vnd.openxmlformats-officedocument.drawingml.chart+xml"/>
  <Override PartName="/xl/drawings/drawing7.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codeName="ThisWorkbook" defaultThemeVersion="124226"/>
  <mc:AlternateContent xmlns:mc="http://schemas.openxmlformats.org/markup-compatibility/2006">
    <mc:Choice Requires="x15">
      <x15ac:absPath xmlns:x15ac="http://schemas.microsoft.com/office/spreadsheetml/2010/11/ac" url="https://doimspp-my.sharepoint.com/personal/elizabeth_pruitt_fws_gov1/Documents/Consultations/calculator external/"/>
    </mc:Choice>
  </mc:AlternateContent>
  <xr:revisionPtr revIDLastSave="180" documentId="8_{87E534BB-3121-41C2-BE57-0F77F041A972}" xr6:coauthVersionLast="47" xr6:coauthVersionMax="47" xr10:uidLastSave="{AB7F9091-5762-43C7-8F39-E7513623A4CE}"/>
  <bookViews>
    <workbookView xWindow="-108" yWindow="-108" windowWidth="23256" windowHeight="12456" tabRatio="670" firstSheet="10" activeTab="16" xr2:uid="{00000000-000D-0000-FFFF-FFFF00000000}"/>
  </bookViews>
  <sheets>
    <sheet name="Pile Driving Instructions" sheetId="19" r:id="rId1"/>
    <sheet name="Pile Driving Data and Effects" sheetId="1" r:id="rId2"/>
    <sheet name="In-air Sound Attenuation" sheetId="20" r:id="rId3"/>
    <sheet name="Underwater Sound Attenuation" sheetId="21" r:id="rId4"/>
    <sheet name="sensitivity" sheetId="4" state="hidden" r:id="rId5"/>
    <sheet name="Conceptual Model" sheetId="7" state="hidden" r:id="rId6"/>
    <sheet name="MULTIPLE PULSE CALC" sheetId="8" state="hidden" r:id="rId7"/>
    <sheet name="MULTIPLE PULSE MATRICES" sheetId="9" state="hidden" r:id="rId8"/>
    <sheet name="SINGLE PULSE CALC" sheetId="10" state="hidden" r:id="rId9"/>
    <sheet name="SINGLE PULSE MATRICES" sheetId="11" state="hidden" r:id="rId10"/>
    <sheet name="Only FWS MaMu Lead&gt;" sheetId="18" r:id="rId11"/>
    <sheet name="MaMu Density" sheetId="5" r:id="rId12"/>
    <sheet name="Old_Pop Data" sheetId="13" state="hidden" r:id="rId13"/>
    <sheet name="Only FWS Bioacoustics Lead&gt;" sheetId="16" r:id="rId14"/>
    <sheet name="Cumulative Prob" sheetId="3" r:id="rId15"/>
    <sheet name="Pile Data" sheetId="14" r:id="rId16"/>
    <sheet name="Drop-down menu info" sheetId="15" r:id="rId17"/>
  </sheets>
  <definedNames>
    <definedName name="Concrete">'Drop-down menu info'!$C$2:$C$6</definedName>
    <definedName name="H">'Drop-down menu info'!$N$3:$N$10</definedName>
    <definedName name="Hollow">'Drop-down menu info'!$H$3</definedName>
    <definedName name="Octagonal">'Drop-down menu info'!$I$3</definedName>
    <definedName name="Pipe">'Drop-down menu info'!$O$3:$O$18</definedName>
    <definedName name="Plastic">'Drop-down menu info'!$D$2</definedName>
    <definedName name="_xlnm.Print_Area" localSheetId="2">'In-air Sound Attenuation'!$A$1:$Y$40</definedName>
    <definedName name="Sheet">'Drop-down menu info'!$P$3</definedName>
    <definedName name="SolidOctagonal">'Drop-down menu info'!$J$3</definedName>
    <definedName name="Square">'Drop-down menu info'!$K$3</definedName>
    <definedName name="Steel">'Drop-down menu info'!$E$2:$E$4</definedName>
    <definedName name="Unspecified" localSheetId="10">'Drop-down menu info'!#REF!</definedName>
    <definedName name="Unspecified" localSheetId="3">'Drop-down menu info'!#REF!</definedName>
    <definedName name="Unspecified">'Drop-down menu info'!#REF!</definedName>
    <definedName name="UnspecifiedConc">'Drop-down menu info'!$L$3</definedName>
    <definedName name="UnspecifiedPlas">'Drop-down menu info'!$M$3</definedName>
    <definedName name="UnspecifiedWood">'Drop-down menu info'!$Q$3</definedName>
    <definedName name="Wood">'Drop-down menu info'!$F$2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5" i="1" l="1"/>
  <c r="C19" i="3"/>
  <c r="C18" i="3" a="1"/>
  <c r="C18" i="3" s="1"/>
  <c r="C22" i="3"/>
  <c r="C20" i="3" a="1"/>
  <c r="C20" i="3" s="1"/>
  <c r="BD54" i="5" l="1"/>
  <c r="BB54" i="5"/>
  <c r="BD55" i="5"/>
  <c r="BC55" i="5"/>
  <c r="BB55" i="5"/>
  <c r="BA55" i="5"/>
  <c r="AZ55" i="5"/>
  <c r="AX55" i="5"/>
  <c r="AU55" i="5"/>
  <c r="AS55" i="5"/>
  <c r="AR55" i="5"/>
  <c r="AV55" i="5"/>
  <c r="AT55" i="5"/>
  <c r="AP55" i="5"/>
  <c r="AV54" i="5"/>
  <c r="AT54" i="5"/>
  <c r="AF28" i="5"/>
  <c r="AK28" i="5"/>
  <c r="AI28" i="5"/>
  <c r="AH28" i="5"/>
  <c r="AL28" i="5"/>
  <c r="AJ28" i="5"/>
  <c r="AL27" i="5"/>
  <c r="AJ27" i="5"/>
  <c r="W55" i="5"/>
  <c r="U55" i="5"/>
  <c r="T55" i="5"/>
  <c r="X55" i="5"/>
  <c r="V55" i="5"/>
  <c r="R55" i="5"/>
  <c r="X54" i="5"/>
  <c r="V54" i="5"/>
  <c r="L55" i="5"/>
  <c r="J55" i="5"/>
  <c r="O55" i="5"/>
  <c r="M55" i="5"/>
  <c r="P55" i="5"/>
  <c r="N55" i="5"/>
  <c r="P54" i="5"/>
  <c r="N54" i="5"/>
  <c r="D55" i="5"/>
  <c r="B55" i="5"/>
  <c r="H54" i="5"/>
  <c r="F54" i="5"/>
  <c r="M28" i="5"/>
  <c r="O28" i="5"/>
  <c r="L28" i="5"/>
  <c r="J28" i="5"/>
  <c r="P27" i="5"/>
  <c r="N27" i="5"/>
  <c r="G28" i="5"/>
  <c r="E28" i="5"/>
  <c r="D28" i="5"/>
  <c r="H26" i="5"/>
  <c r="F26" i="5"/>
  <c r="B28" i="5"/>
  <c r="U28" i="5" l="1"/>
  <c r="BZ55" i="5"/>
  <c r="CA55" i="5"/>
  <c r="CB55" i="5"/>
  <c r="BX55" i="5"/>
  <c r="BT55" i="5"/>
  <c r="BU55" i="5"/>
  <c r="BV55" i="5"/>
  <c r="BR55" i="5"/>
  <c r="BP55" i="5"/>
  <c r="BO55" i="5"/>
  <c r="BN55" i="5"/>
  <c r="BL55" i="5"/>
  <c r="BI55" i="5"/>
  <c r="BJ55" i="5"/>
  <c r="BH55" i="5"/>
  <c r="BF55" i="5"/>
  <c r="AM55" i="5"/>
  <c r="AK55" i="5"/>
  <c r="AJ55" i="5"/>
  <c r="AH55" i="5"/>
  <c r="AN53" i="5"/>
  <c r="AL53" i="5"/>
  <c r="AB55" i="5"/>
  <c r="AC55" i="5"/>
  <c r="AE55" i="5"/>
  <c r="Z55" i="5"/>
  <c r="AF53" i="5"/>
  <c r="AD53" i="5"/>
  <c r="AW28" i="5"/>
  <c r="AV28" i="5"/>
  <c r="AU28" i="5"/>
  <c r="AT28" i="5"/>
  <c r="AS28" i="5"/>
  <c r="AQ28" i="5"/>
  <c r="W28" i="5"/>
  <c r="X28" i="5"/>
  <c r="Z28" i="5"/>
  <c r="AA26" i="5"/>
  <c r="Y26" i="5"/>
  <c r="G55" i="5"/>
  <c r="E55" i="5"/>
  <c r="AZ28" i="5"/>
  <c r="H25" i="5"/>
  <c r="BB52" i="5"/>
  <c r="BD52" i="5"/>
  <c r="AV52" i="5"/>
  <c r="AT52" i="5"/>
  <c r="AL25" i="5"/>
  <c r="AJ25" i="5"/>
  <c r="V52" i="5"/>
  <c r="X52" i="5"/>
  <c r="N52" i="5"/>
  <c r="P52" i="5"/>
  <c r="H52" i="5"/>
  <c r="F52" i="5"/>
  <c r="P25" i="5"/>
  <c r="N25" i="5"/>
  <c r="AN51" i="5"/>
  <c r="AL51" i="5"/>
  <c r="AF51" i="5"/>
  <c r="AD51" i="5"/>
  <c r="AD49" i="5"/>
  <c r="AA24" i="5"/>
  <c r="Y24" i="5"/>
  <c r="H23" i="5"/>
  <c r="H24" i="5"/>
  <c r="F23" i="5"/>
  <c r="F24" i="5"/>
  <c r="F25" i="5"/>
  <c r="BD28" i="5" l="1"/>
  <c r="BC28" i="5"/>
  <c r="BB28" i="5"/>
  <c r="BD50" i="5"/>
  <c r="BB50" i="5"/>
  <c r="AV50" i="5"/>
  <c r="AT50" i="5"/>
  <c r="AL23" i="5"/>
  <c r="AJ23" i="5"/>
  <c r="X50" i="5"/>
  <c r="P50" i="5"/>
  <c r="N50" i="5"/>
  <c r="H50" i="5" l="1"/>
  <c r="F50" i="5"/>
  <c r="P23" i="5"/>
  <c r="N23" i="5"/>
  <c r="AN49" i="5"/>
  <c r="AL49" i="5"/>
  <c r="AF49" i="5"/>
  <c r="AA22" i="5"/>
  <c r="Y22" i="5"/>
  <c r="F22" i="5"/>
  <c r="F28" i="5" s="1"/>
  <c r="H22" i="5"/>
  <c r="H28" i="5" s="1"/>
  <c r="F21" i="5"/>
  <c r="H21" i="5"/>
  <c r="H20" i="5"/>
  <c r="F20" i="5"/>
  <c r="X46" i="5"/>
  <c r="H19" i="5"/>
  <c r="F19" i="5"/>
  <c r="G29" i="20" l="1"/>
  <c r="F29" i="20"/>
  <c r="G20" i="21"/>
  <c r="F20" i="21"/>
  <c r="E22" i="21" l="1"/>
  <c r="E24" i="21"/>
  <c r="E33" i="20"/>
  <c r="E34" i="20" s="1"/>
  <c r="E31" i="20"/>
  <c r="G15" i="20"/>
  <c r="E32" i="20" l="1"/>
  <c r="C14" i="3"/>
  <c r="C13" i="3"/>
  <c r="C26" i="3" l="1"/>
  <c r="C23" i="3"/>
  <c r="C16" i="3"/>
  <c r="C17" i="3"/>
  <c r="C15" i="3"/>
  <c r="L22" i="1" l="1"/>
  <c r="J22" i="1"/>
  <c r="L21" i="1"/>
  <c r="J21" i="1"/>
  <c r="C16" i="1"/>
  <c r="C10" i="1"/>
  <c r="I8" i="1" s="1"/>
  <c r="I9" i="1" s="1"/>
  <c r="S7" i="1"/>
  <c r="I4" i="1"/>
  <c r="V2" i="3" l="1"/>
  <c r="T2" i="3"/>
  <c r="C3" i="21"/>
  <c r="B3" i="21"/>
  <c r="C3" i="20"/>
  <c r="B3" i="20"/>
  <c r="W3" i="1"/>
  <c r="V3" i="1"/>
  <c r="G15" i="21" l="1"/>
  <c r="O10" i="21"/>
  <c r="O11" i="21" s="1"/>
  <c r="O12" i="21" s="1"/>
  <c r="O13" i="21" s="1"/>
  <c r="O14" i="21" s="1"/>
  <c r="O15" i="21" s="1"/>
  <c r="O16" i="21" s="1"/>
  <c r="O17" i="21" s="1"/>
  <c r="O18" i="21" s="1"/>
  <c r="O19" i="21" s="1"/>
  <c r="O20" i="21" s="1"/>
  <c r="O21" i="21" s="1"/>
  <c r="O22" i="21" s="1"/>
  <c r="O23" i="21" s="1"/>
  <c r="O24" i="21" s="1"/>
  <c r="O25" i="21" s="1"/>
  <c r="O26" i="21" s="1"/>
  <c r="O27" i="21" s="1"/>
  <c r="O28" i="21" s="1"/>
  <c r="O29" i="21" s="1"/>
  <c r="O30" i="21" s="1"/>
  <c r="M10" i="21"/>
  <c r="M11" i="21" s="1"/>
  <c r="M12" i="21" s="1"/>
  <c r="M13" i="21" s="1"/>
  <c r="M14" i="21" s="1"/>
  <c r="M15" i="21" s="1"/>
  <c r="M16" i="21" s="1"/>
  <c r="M17" i="21" s="1"/>
  <c r="M18" i="21" s="1"/>
  <c r="M19" i="21" s="1"/>
  <c r="M20" i="21" s="1"/>
  <c r="M21" i="21" s="1"/>
  <c r="M22" i="21" s="1"/>
  <c r="M23" i="21" s="1"/>
  <c r="M24" i="21" s="1"/>
  <c r="M25" i="21" s="1"/>
  <c r="M26" i="21" s="1"/>
  <c r="M27" i="21" s="1"/>
  <c r="M28" i="21" s="1"/>
  <c r="M29" i="21" s="1"/>
  <c r="M30" i="21" s="1"/>
  <c r="O8" i="21"/>
  <c r="M8" i="21"/>
  <c r="E23" i="21" l="1"/>
  <c r="E25" i="21"/>
  <c r="M10" i="20"/>
  <c r="M11" i="20" s="1"/>
  <c r="M12" i="20" s="1"/>
  <c r="M13" i="20" s="1"/>
  <c r="M14" i="20" s="1"/>
  <c r="M15" i="20" s="1"/>
  <c r="M16" i="20" s="1"/>
  <c r="M17" i="20" s="1"/>
  <c r="M18" i="20" s="1"/>
  <c r="M19" i="20" s="1"/>
  <c r="M20" i="20" s="1"/>
  <c r="M21" i="20" s="1"/>
  <c r="M22" i="20" s="1"/>
  <c r="M23" i="20" s="1"/>
  <c r="M24" i="20" s="1"/>
  <c r="M25" i="20" s="1"/>
  <c r="M26" i="20" s="1"/>
  <c r="M27" i="20" s="1"/>
  <c r="M28" i="20" s="1"/>
  <c r="M29" i="20" s="1"/>
  <c r="M30" i="20" s="1"/>
  <c r="O10" i="20"/>
  <c r="O8" i="20"/>
  <c r="M8" i="20"/>
  <c r="G28" i="20"/>
  <c r="F28" i="20"/>
  <c r="O11" i="20" l="1"/>
  <c r="O12" i="20" s="1"/>
  <c r="O13" i="20" s="1"/>
  <c r="O14" i="20" s="1"/>
  <c r="O15" i="20" s="1"/>
  <c r="O16" i="20" s="1"/>
  <c r="O17" i="20" s="1"/>
  <c r="O18" i="20" s="1"/>
  <c r="O19" i="20" s="1"/>
  <c r="O20" i="20" s="1"/>
  <c r="O21" i="20" s="1"/>
  <c r="O22" i="20" s="1"/>
  <c r="O23" i="20" s="1"/>
  <c r="O24" i="20" s="1"/>
  <c r="O25" i="20" s="1"/>
  <c r="O26" i="20" s="1"/>
  <c r="O27" i="20" s="1"/>
  <c r="O28" i="20" s="1"/>
  <c r="O29" i="20" s="1"/>
  <c r="O30" i="20" s="1"/>
  <c r="I16" i="8" l="1"/>
  <c r="H16" i="8"/>
  <c r="G16" i="8"/>
  <c r="I15" i="8"/>
  <c r="H15" i="8"/>
  <c r="G15" i="8"/>
  <c r="BD48" i="5" l="1"/>
  <c r="BB48" i="5"/>
  <c r="AV48" i="5"/>
  <c r="AT48" i="5"/>
  <c r="X48" i="5"/>
  <c r="V48" i="5"/>
  <c r="P48" i="5"/>
  <c r="N48" i="5"/>
  <c r="H48" i="5"/>
  <c r="F48" i="5"/>
  <c r="AL21" i="5"/>
  <c r="AJ21" i="5"/>
  <c r="P21" i="5"/>
  <c r="N21" i="5"/>
  <c r="E34" i="14" l="1"/>
  <c r="I26" i="10" l="1"/>
  <c r="H26" i="10"/>
  <c r="G26" i="10"/>
  <c r="I12" i="10"/>
  <c r="H12" i="10"/>
  <c r="G12" i="10"/>
  <c r="I8" i="10"/>
  <c r="H8" i="10"/>
  <c r="G8" i="10"/>
  <c r="I25" i="10"/>
  <c r="H25" i="10"/>
  <c r="G25" i="10"/>
  <c r="I11" i="10"/>
  <c r="H11" i="10"/>
  <c r="G11" i="10"/>
  <c r="I9" i="10"/>
  <c r="H9" i="10"/>
  <c r="G9" i="10"/>
  <c r="I7" i="10"/>
  <c r="H7" i="10"/>
  <c r="G7" i="10"/>
  <c r="I12" i="8"/>
  <c r="H12" i="8"/>
  <c r="G12" i="8"/>
  <c r="I10" i="8"/>
  <c r="H10" i="8"/>
  <c r="G10" i="8"/>
  <c r="I8" i="8"/>
  <c r="H8" i="8"/>
  <c r="G8" i="8"/>
  <c r="I11" i="8"/>
  <c r="H11" i="8"/>
  <c r="G11" i="8"/>
  <c r="I7" i="8"/>
  <c r="H7" i="8"/>
  <c r="G7" i="8"/>
  <c r="E3" i="14" l="1"/>
  <c r="E4" i="14"/>
  <c r="E5" i="14"/>
  <c r="E6" i="14"/>
  <c r="E7" i="14"/>
  <c r="E8" i="14"/>
  <c r="E10" i="14"/>
  <c r="E11" i="14"/>
  <c r="E12" i="14"/>
  <c r="E13" i="14"/>
  <c r="E14" i="14"/>
  <c r="E15" i="14"/>
  <c r="E16" i="14"/>
  <c r="E17" i="14"/>
  <c r="E18" i="14"/>
  <c r="E19" i="14"/>
  <c r="E20" i="14"/>
  <c r="E21" i="14"/>
  <c r="E22" i="14"/>
  <c r="E23" i="14"/>
  <c r="E24" i="14"/>
  <c r="E25" i="14"/>
  <c r="E26" i="14"/>
  <c r="E27" i="14"/>
  <c r="E28" i="14"/>
  <c r="E29" i="14"/>
  <c r="E30" i="14"/>
  <c r="E31" i="14"/>
  <c r="E32" i="14"/>
  <c r="E33" i="14"/>
  <c r="E9" i="14"/>
  <c r="I10" i="1" l="1"/>
  <c r="I6" i="1"/>
  <c r="I11" i="1"/>
  <c r="E10" i="1"/>
  <c r="I7" i="1"/>
  <c r="B35" i="3"/>
  <c r="B34" i="3"/>
  <c r="B33" i="3"/>
  <c r="B36" i="3"/>
  <c r="B41" i="3" s="1"/>
  <c r="X45" i="5"/>
  <c r="X47" i="5"/>
  <c r="N47" i="5"/>
  <c r="P47" i="5"/>
  <c r="F47" i="5"/>
  <c r="H47" i="5"/>
  <c r="AA20" i="5"/>
  <c r="Y20" i="5"/>
  <c r="N20" i="5"/>
  <c r="N28" i="5" s="1"/>
  <c r="P20" i="5"/>
  <c r="I29" i="1" l="1"/>
  <c r="I28" i="1"/>
  <c r="I17" i="1" s="1"/>
  <c r="I16" i="1" l="1"/>
  <c r="L16" i="1" s="1"/>
  <c r="I23" i="1"/>
  <c r="J23" i="1" s="1"/>
  <c r="I15" i="1"/>
  <c r="J15" i="1" s="1"/>
  <c r="L17" i="1"/>
  <c r="J17" i="1"/>
  <c r="I24" i="1"/>
  <c r="L28" i="1"/>
  <c r="J28" i="1"/>
  <c r="L29" i="1"/>
  <c r="J29" i="1"/>
  <c r="U36" i="3"/>
  <c r="S34" i="3"/>
  <c r="U18" i="3"/>
  <c r="S16" i="3"/>
  <c r="H36" i="3"/>
  <c r="O34" i="3"/>
  <c r="M33" i="3"/>
  <c r="H32" i="3"/>
  <c r="T36" i="3"/>
  <c r="U33" i="3"/>
  <c r="S31" i="3"/>
  <c r="T18" i="3"/>
  <c r="G36" i="3"/>
  <c r="N34" i="3"/>
  <c r="I33" i="3"/>
  <c r="G32" i="3"/>
  <c r="S36" i="3"/>
  <c r="T33" i="3"/>
  <c r="U20" i="3"/>
  <c r="S18" i="3"/>
  <c r="O35" i="3"/>
  <c r="M34" i="3"/>
  <c r="H33" i="3"/>
  <c r="M36" i="3"/>
  <c r="O33" i="3"/>
  <c r="T16" i="3"/>
  <c r="U35" i="3"/>
  <c r="S33" i="3"/>
  <c r="T20" i="3"/>
  <c r="U17" i="3"/>
  <c r="S15" i="3"/>
  <c r="N35" i="3"/>
  <c r="I34" i="3"/>
  <c r="G33" i="3"/>
  <c r="T35" i="3"/>
  <c r="U32" i="3"/>
  <c r="S20" i="3"/>
  <c r="T17" i="3"/>
  <c r="O36" i="3"/>
  <c r="M35" i="3"/>
  <c r="H34" i="3"/>
  <c r="O32" i="3"/>
  <c r="M31" i="3"/>
  <c r="S35" i="3"/>
  <c r="T32" i="3"/>
  <c r="U19" i="3"/>
  <c r="S17" i="3"/>
  <c r="N36" i="3"/>
  <c r="G34" i="3"/>
  <c r="N32" i="3"/>
  <c r="U34" i="3"/>
  <c r="S32" i="3"/>
  <c r="T19" i="3"/>
  <c r="U16" i="3"/>
  <c r="M32" i="3"/>
  <c r="T34" i="3"/>
  <c r="S19" i="3"/>
  <c r="I36" i="3"/>
  <c r="N33" i="3"/>
  <c r="I32" i="3"/>
  <c r="U40" i="3"/>
  <c r="U24" i="3"/>
  <c r="S24" i="3"/>
  <c r="S39" i="3"/>
  <c r="M39" i="3"/>
  <c r="O39" i="3"/>
  <c r="T24" i="3"/>
  <c r="N40" i="3"/>
  <c r="N39" i="3"/>
  <c r="O40" i="3"/>
  <c r="M40" i="3"/>
  <c r="S23" i="3"/>
  <c r="U39" i="3"/>
  <c r="U23" i="3"/>
  <c r="T40" i="3"/>
  <c r="T39" i="3"/>
  <c r="S40" i="3"/>
  <c r="T23" i="3"/>
  <c r="M24" i="3"/>
  <c r="N24" i="3"/>
  <c r="O23" i="3"/>
  <c r="M23" i="3"/>
  <c r="N23" i="3"/>
  <c r="I18" i="3"/>
  <c r="N20" i="3"/>
  <c r="H16" i="3"/>
  <c r="M17" i="3"/>
  <c r="N16" i="3"/>
  <c r="M20" i="3"/>
  <c r="I20" i="3"/>
  <c r="M15" i="3"/>
  <c r="I17" i="3"/>
  <c r="N19" i="3"/>
  <c r="G20" i="3"/>
  <c r="H20" i="3"/>
  <c r="G17" i="3"/>
  <c r="N18" i="3"/>
  <c r="M19" i="3"/>
  <c r="O18" i="3"/>
  <c r="H18" i="3"/>
  <c r="N17" i="3"/>
  <c r="O17" i="3"/>
  <c r="O20" i="3"/>
  <c r="M16" i="3"/>
  <c r="I16" i="3"/>
  <c r="M18" i="3"/>
  <c r="G16" i="3"/>
  <c r="H17" i="3"/>
  <c r="G18" i="3"/>
  <c r="O19" i="3"/>
  <c r="O16" i="3"/>
  <c r="I63" i="3"/>
  <c r="G60" i="3"/>
  <c r="H60" i="3"/>
  <c r="H63" i="3"/>
  <c r="G63" i="3"/>
  <c r="I60" i="3"/>
  <c r="BA45" i="13"/>
  <c r="AU45" i="13"/>
  <c r="AO45" i="13"/>
  <c r="AI45" i="13"/>
  <c r="AC45" i="13"/>
  <c r="W45" i="13"/>
  <c r="Q45" i="13"/>
  <c r="K45" i="13"/>
  <c r="E45" i="13"/>
  <c r="CE44" i="13"/>
  <c r="BY44" i="13"/>
  <c r="BS44" i="13"/>
  <c r="BA44" i="13"/>
  <c r="AU44" i="13"/>
  <c r="AO44" i="13"/>
  <c r="AI44" i="13"/>
  <c r="AC44" i="13"/>
  <c r="W44" i="13"/>
  <c r="Q44" i="13"/>
  <c r="K44" i="13"/>
  <c r="E44" i="13"/>
  <c r="CE43" i="13"/>
  <c r="BY43" i="13"/>
  <c r="BS43" i="13"/>
  <c r="BG43" i="13"/>
  <c r="BA43" i="13"/>
  <c r="AU43" i="13"/>
  <c r="AO43" i="13"/>
  <c r="AI43" i="13"/>
  <c r="AC43" i="13"/>
  <c r="W43" i="13"/>
  <c r="Q43" i="13"/>
  <c r="K43" i="13"/>
  <c r="E43" i="13"/>
  <c r="BA42" i="13"/>
  <c r="AU42" i="13"/>
  <c r="AO42" i="13"/>
  <c r="AI42" i="13"/>
  <c r="AC42" i="13"/>
  <c r="W42" i="13"/>
  <c r="Q42" i="13"/>
  <c r="K42" i="13"/>
  <c r="E42" i="13"/>
  <c r="BA41" i="13"/>
  <c r="AU41" i="13"/>
  <c r="AO41" i="13"/>
  <c r="AI41" i="13"/>
  <c r="AC41" i="13"/>
  <c r="W41" i="13"/>
  <c r="Q41" i="13"/>
  <c r="K41" i="13"/>
  <c r="E41" i="13"/>
  <c r="BM40" i="13"/>
  <c r="BG40" i="13"/>
  <c r="BA40" i="13"/>
  <c r="AU40" i="13"/>
  <c r="AO40" i="13"/>
  <c r="AI40" i="13"/>
  <c r="AC40" i="13"/>
  <c r="W40" i="13"/>
  <c r="Q40" i="13"/>
  <c r="K40" i="13"/>
  <c r="E40" i="13"/>
  <c r="BG39" i="13"/>
  <c r="BA39" i="13"/>
  <c r="AU39" i="13"/>
  <c r="AO39" i="13"/>
  <c r="AI39" i="13"/>
  <c r="AC39" i="13"/>
  <c r="W39" i="13"/>
  <c r="Q39" i="13"/>
  <c r="K39" i="13"/>
  <c r="E39" i="13"/>
  <c r="CE38" i="13"/>
  <c r="BY38" i="13"/>
  <c r="BS38" i="13"/>
  <c r="BG38" i="13"/>
  <c r="BA38" i="13"/>
  <c r="AU38" i="13"/>
  <c r="AO38" i="13"/>
  <c r="AI38" i="13"/>
  <c r="AC38" i="13"/>
  <c r="W38" i="13"/>
  <c r="Q38" i="13"/>
  <c r="K38" i="13"/>
  <c r="E38" i="13"/>
  <c r="CE37" i="13"/>
  <c r="BY37" i="13"/>
  <c r="BS37" i="13"/>
  <c r="BM37" i="13"/>
  <c r="BG37" i="13"/>
  <c r="BA37" i="13"/>
  <c r="AU37" i="13"/>
  <c r="AO37" i="13"/>
  <c r="AI37" i="13"/>
  <c r="AC37" i="13"/>
  <c r="W37" i="13"/>
  <c r="Q37" i="13"/>
  <c r="K37" i="13"/>
  <c r="E37" i="13"/>
  <c r="BS36" i="13"/>
  <c r="BG36" i="13"/>
  <c r="BA36" i="13"/>
  <c r="AU36" i="13"/>
  <c r="AO36" i="13"/>
  <c r="AI36" i="13"/>
  <c r="AC36" i="13"/>
  <c r="W36" i="13"/>
  <c r="Q36" i="13"/>
  <c r="K36" i="13"/>
  <c r="E36" i="13"/>
  <c r="AC26" i="13"/>
  <c r="W26" i="13"/>
  <c r="Q26" i="13"/>
  <c r="K26" i="13"/>
  <c r="E26" i="13"/>
  <c r="AO25" i="13"/>
  <c r="AC25" i="13"/>
  <c r="W25" i="13"/>
  <c r="Q25" i="13"/>
  <c r="K25" i="13"/>
  <c r="E25" i="13"/>
  <c r="AO24" i="13"/>
  <c r="AI24" i="13"/>
  <c r="AC24" i="13"/>
  <c r="W24" i="13"/>
  <c r="Q24" i="13"/>
  <c r="K24" i="13"/>
  <c r="E24" i="13"/>
  <c r="AC23" i="13"/>
  <c r="W23" i="13"/>
  <c r="Q23" i="13"/>
  <c r="K23" i="13"/>
  <c r="E23" i="13"/>
  <c r="AC22" i="13"/>
  <c r="W22" i="13"/>
  <c r="Q22" i="13"/>
  <c r="K22" i="13"/>
  <c r="E22" i="13"/>
  <c r="AI21" i="13"/>
  <c r="AC21" i="13"/>
  <c r="W21" i="13"/>
  <c r="Q21" i="13"/>
  <c r="K21" i="13"/>
  <c r="E21" i="13"/>
  <c r="AI20" i="13"/>
  <c r="AC20" i="13"/>
  <c r="W20" i="13"/>
  <c r="Q20" i="13"/>
  <c r="K20" i="13"/>
  <c r="E20" i="13"/>
  <c r="AO19" i="13"/>
  <c r="AI19" i="13"/>
  <c r="AC19" i="13"/>
  <c r="W19" i="13"/>
  <c r="Q19" i="13"/>
  <c r="K19" i="13"/>
  <c r="E19" i="13"/>
  <c r="AO18" i="13"/>
  <c r="AI18" i="13"/>
  <c r="AC18" i="13"/>
  <c r="W18" i="13"/>
  <c r="Q18" i="13"/>
  <c r="K18" i="13"/>
  <c r="E18" i="13"/>
  <c r="AI17" i="13"/>
  <c r="AC17" i="13"/>
  <c r="W17" i="13"/>
  <c r="Q17" i="13"/>
  <c r="K17" i="13"/>
  <c r="E17" i="13"/>
  <c r="Y150" i="11"/>
  <c r="Y149" i="11"/>
  <c r="Y148" i="11"/>
  <c r="Y147" i="11"/>
  <c r="Y146" i="11"/>
  <c r="Y145" i="11"/>
  <c r="Y144" i="11"/>
  <c r="Y143" i="11"/>
  <c r="Y142" i="11"/>
  <c r="Y141" i="11"/>
  <c r="Y140" i="11"/>
  <c r="Y139" i="11"/>
  <c r="Y138" i="11"/>
  <c r="Y137" i="11"/>
  <c r="Y136" i="11"/>
  <c r="Y135" i="11"/>
  <c r="Y134" i="11"/>
  <c r="Y133" i="11"/>
  <c r="Y132" i="11"/>
  <c r="Y131" i="11"/>
  <c r="Y130" i="11"/>
  <c r="Y126" i="11"/>
  <c r="Y125" i="11"/>
  <c r="Y124" i="11"/>
  <c r="Y123" i="11"/>
  <c r="Y122" i="11"/>
  <c r="Y121" i="11"/>
  <c r="Y120" i="11"/>
  <c r="Y119" i="11"/>
  <c r="Y118" i="11"/>
  <c r="D118" i="11"/>
  <c r="B118" i="11"/>
  <c r="E118" i="11" s="1"/>
  <c r="Y117" i="11"/>
  <c r="D117" i="11"/>
  <c r="B117" i="11"/>
  <c r="Y116" i="11"/>
  <c r="D116" i="11"/>
  <c r="B116" i="11"/>
  <c r="Y115" i="11"/>
  <c r="D115" i="11"/>
  <c r="B115" i="11"/>
  <c r="Y114" i="11"/>
  <c r="D114" i="11"/>
  <c r="B114" i="11"/>
  <c r="Y113" i="11"/>
  <c r="D113" i="11"/>
  <c r="B113" i="11"/>
  <c r="Y112" i="11"/>
  <c r="D112" i="11"/>
  <c r="B112" i="11"/>
  <c r="Y111" i="11"/>
  <c r="D111" i="11"/>
  <c r="B111" i="11"/>
  <c r="Y110" i="11"/>
  <c r="D110" i="11"/>
  <c r="B110" i="11"/>
  <c r="D109" i="11"/>
  <c r="B109" i="11"/>
  <c r="D108" i="11"/>
  <c r="B108" i="11"/>
  <c r="D107" i="11"/>
  <c r="B107" i="11"/>
  <c r="D106" i="11"/>
  <c r="B106" i="11"/>
  <c r="Y105" i="11"/>
  <c r="D105" i="11"/>
  <c r="B105" i="11"/>
  <c r="Y104" i="11"/>
  <c r="D104" i="11"/>
  <c r="B104" i="11"/>
  <c r="Y103" i="11"/>
  <c r="D103" i="11"/>
  <c r="B103" i="11"/>
  <c r="Y102" i="11"/>
  <c r="D102" i="11"/>
  <c r="B102" i="11"/>
  <c r="Y101" i="11"/>
  <c r="D101" i="11"/>
  <c r="B101" i="11"/>
  <c r="Y100" i="11"/>
  <c r="D100" i="11"/>
  <c r="B100" i="11"/>
  <c r="Y99" i="11"/>
  <c r="D99" i="11"/>
  <c r="B99" i="11"/>
  <c r="E99" i="11" s="1"/>
  <c r="Y98" i="11"/>
  <c r="D98" i="11"/>
  <c r="B98" i="11"/>
  <c r="E98" i="11" s="1"/>
  <c r="Y97" i="11"/>
  <c r="D97" i="11"/>
  <c r="B97" i="11"/>
  <c r="Y96" i="11"/>
  <c r="D96" i="11"/>
  <c r="B96" i="11"/>
  <c r="Y95" i="11"/>
  <c r="D95" i="11"/>
  <c r="B95" i="11"/>
  <c r="Y94" i="11"/>
  <c r="D94" i="11"/>
  <c r="B94" i="11"/>
  <c r="E94" i="11" s="1"/>
  <c r="Y93" i="11"/>
  <c r="D93" i="11"/>
  <c r="B93" i="11"/>
  <c r="Y92" i="11"/>
  <c r="D92" i="11"/>
  <c r="B92" i="11"/>
  <c r="Y91" i="11"/>
  <c r="D91" i="11"/>
  <c r="B91" i="11"/>
  <c r="Y90" i="11"/>
  <c r="D90" i="11"/>
  <c r="B90" i="11"/>
  <c r="Y89" i="11"/>
  <c r="D89" i="11"/>
  <c r="B89" i="11"/>
  <c r="E89" i="11" s="1"/>
  <c r="D88" i="11"/>
  <c r="B88" i="11"/>
  <c r="D87" i="11"/>
  <c r="B87" i="11"/>
  <c r="D86" i="11"/>
  <c r="B86" i="11"/>
  <c r="AT85" i="11"/>
  <c r="D85" i="11"/>
  <c r="B85" i="11"/>
  <c r="E85" i="11" s="1"/>
  <c r="G85" i="11" s="1"/>
  <c r="AT84" i="11"/>
  <c r="D84" i="11"/>
  <c r="B84" i="11"/>
  <c r="AT83" i="11"/>
  <c r="D83" i="11"/>
  <c r="B83" i="11"/>
  <c r="AT82" i="11"/>
  <c r="D82" i="11"/>
  <c r="B82" i="11"/>
  <c r="AT81" i="11"/>
  <c r="D81" i="11"/>
  <c r="B81" i="11"/>
  <c r="AT80" i="11"/>
  <c r="Y80" i="11"/>
  <c r="D80" i="11"/>
  <c r="B80" i="11"/>
  <c r="AT79" i="11"/>
  <c r="Y79" i="11"/>
  <c r="D79" i="11"/>
  <c r="B79" i="11"/>
  <c r="AT78" i="11"/>
  <c r="Y78" i="11"/>
  <c r="D78" i="11"/>
  <c r="B78" i="11"/>
  <c r="AT77" i="11"/>
  <c r="Y77" i="11"/>
  <c r="D77" i="11"/>
  <c r="B77" i="11"/>
  <c r="AT76" i="11"/>
  <c r="Y76" i="11"/>
  <c r="D76" i="11"/>
  <c r="B76" i="11"/>
  <c r="E76" i="11" s="1"/>
  <c r="AT75" i="11"/>
  <c r="Y75" i="11"/>
  <c r="D75" i="11"/>
  <c r="B75" i="11"/>
  <c r="E75" i="11" s="1"/>
  <c r="AT74" i="11"/>
  <c r="Y74" i="11"/>
  <c r="D74" i="11"/>
  <c r="B74" i="11"/>
  <c r="E74" i="11" s="1"/>
  <c r="AT73" i="11"/>
  <c r="Y73" i="11"/>
  <c r="D73" i="11"/>
  <c r="B73" i="11"/>
  <c r="E73" i="11" s="1"/>
  <c r="AT72" i="11"/>
  <c r="Y72" i="11"/>
  <c r="D72" i="11"/>
  <c r="B72" i="11"/>
  <c r="E72" i="11" s="1"/>
  <c r="AT71" i="11"/>
  <c r="Y71" i="11"/>
  <c r="D71" i="11"/>
  <c r="B71" i="11"/>
  <c r="AT70" i="11"/>
  <c r="Y70" i="11"/>
  <c r="D70" i="11"/>
  <c r="B70" i="11"/>
  <c r="E70" i="11" s="1"/>
  <c r="AT69" i="11"/>
  <c r="Y69" i="11"/>
  <c r="D69" i="11"/>
  <c r="B69" i="11"/>
  <c r="AT68" i="11"/>
  <c r="Y68" i="11"/>
  <c r="D68" i="11"/>
  <c r="B68" i="11"/>
  <c r="AT67" i="11"/>
  <c r="Y67" i="11"/>
  <c r="D67" i="11"/>
  <c r="B67" i="11"/>
  <c r="E67" i="11" s="1"/>
  <c r="AT66" i="11"/>
  <c r="Y66" i="11"/>
  <c r="D66" i="11"/>
  <c r="B66" i="11"/>
  <c r="AT65" i="11"/>
  <c r="Y65" i="11"/>
  <c r="D65" i="11"/>
  <c r="B65" i="11"/>
  <c r="AT64" i="11"/>
  <c r="Y64" i="11"/>
  <c r="D64" i="11"/>
  <c r="B64" i="11"/>
  <c r="AT60" i="11"/>
  <c r="Y60" i="11"/>
  <c r="D60" i="11"/>
  <c r="B60" i="11"/>
  <c r="E60" i="11" s="1"/>
  <c r="G60" i="11" s="1"/>
  <c r="AT59" i="11"/>
  <c r="Y59" i="11"/>
  <c r="D59" i="11"/>
  <c r="B59" i="11"/>
  <c r="AT58" i="11"/>
  <c r="Y58" i="11"/>
  <c r="D58" i="11"/>
  <c r="B58" i="11"/>
  <c r="AT57" i="11"/>
  <c r="Y57" i="11"/>
  <c r="D57" i="11"/>
  <c r="B57" i="11"/>
  <c r="AT56" i="11"/>
  <c r="Y56" i="11"/>
  <c r="D56" i="11"/>
  <c r="B56" i="11"/>
  <c r="E56" i="11" s="1"/>
  <c r="H56" i="11" s="1"/>
  <c r="AT55" i="11"/>
  <c r="Y55" i="11"/>
  <c r="D55" i="11"/>
  <c r="B55" i="11"/>
  <c r="AT54" i="11"/>
  <c r="Y54" i="11"/>
  <c r="D54" i="11"/>
  <c r="B54" i="11"/>
  <c r="AT53" i="11"/>
  <c r="Y53" i="11"/>
  <c r="D53" i="11"/>
  <c r="B53" i="11"/>
  <c r="AT52" i="11"/>
  <c r="Y52" i="11"/>
  <c r="D52" i="11"/>
  <c r="B52" i="11"/>
  <c r="AT51" i="11"/>
  <c r="Y51" i="11"/>
  <c r="D51" i="11"/>
  <c r="B51" i="11"/>
  <c r="AT50" i="11"/>
  <c r="Y50" i="11"/>
  <c r="D50" i="11"/>
  <c r="B50" i="11"/>
  <c r="AT49" i="11"/>
  <c r="Y49" i="11"/>
  <c r="D49" i="11"/>
  <c r="B49" i="11"/>
  <c r="E49" i="11" s="1"/>
  <c r="G49" i="11" s="1"/>
  <c r="AT48" i="11"/>
  <c r="Y48" i="11"/>
  <c r="D48" i="11"/>
  <c r="B48" i="11"/>
  <c r="AT47" i="11"/>
  <c r="Y47" i="11"/>
  <c r="D47" i="11"/>
  <c r="B47" i="11"/>
  <c r="AT46" i="11"/>
  <c r="Y46" i="11"/>
  <c r="D46" i="11"/>
  <c r="B46" i="11"/>
  <c r="AT45" i="11"/>
  <c r="Y45" i="11"/>
  <c r="D45" i="11"/>
  <c r="B45" i="11"/>
  <c r="AT44" i="11"/>
  <c r="Y44" i="11"/>
  <c r="D44" i="11"/>
  <c r="B44" i="11"/>
  <c r="AT39" i="11"/>
  <c r="AT38" i="11"/>
  <c r="AT37" i="11"/>
  <c r="AT36" i="11"/>
  <c r="AT35" i="11"/>
  <c r="Y35" i="11"/>
  <c r="D35" i="11"/>
  <c r="AT34" i="11"/>
  <c r="Y34" i="11"/>
  <c r="D34" i="11"/>
  <c r="AT33" i="11"/>
  <c r="Y33" i="11"/>
  <c r="D33" i="11"/>
  <c r="AT32" i="11"/>
  <c r="Y32" i="11"/>
  <c r="D32" i="11"/>
  <c r="AT31" i="11"/>
  <c r="Y31" i="11"/>
  <c r="D31" i="11"/>
  <c r="AT30" i="11"/>
  <c r="Y30" i="11"/>
  <c r="D30" i="11"/>
  <c r="AT29" i="11"/>
  <c r="Y29" i="11"/>
  <c r="D29" i="11"/>
  <c r="AT28" i="11"/>
  <c r="Y28" i="11"/>
  <c r="D28" i="11"/>
  <c r="AT27" i="11"/>
  <c r="Y27" i="11"/>
  <c r="D27" i="11"/>
  <c r="AT26" i="11"/>
  <c r="Y26" i="11"/>
  <c r="D26" i="11"/>
  <c r="AT25" i="11"/>
  <c r="Y25" i="11"/>
  <c r="D25" i="11"/>
  <c r="AT24" i="11"/>
  <c r="Y24" i="11"/>
  <c r="D24" i="11"/>
  <c r="AT23" i="11"/>
  <c r="Y23" i="11"/>
  <c r="D23" i="11"/>
  <c r="AT22" i="11"/>
  <c r="Y22" i="11"/>
  <c r="D22" i="11"/>
  <c r="AT21" i="11"/>
  <c r="Y21" i="11"/>
  <c r="D21" i="11"/>
  <c r="AT20" i="11"/>
  <c r="Y20" i="11"/>
  <c r="D20" i="11"/>
  <c r="AT19" i="11"/>
  <c r="Y19" i="11"/>
  <c r="D19" i="11"/>
  <c r="O13" i="11"/>
  <c r="C9" i="11"/>
  <c r="C6" i="11"/>
  <c r="B32" i="11" s="1"/>
  <c r="E32" i="11" s="1"/>
  <c r="H5" i="11"/>
  <c r="AR45" i="11" s="1"/>
  <c r="AU45" i="11" s="1"/>
  <c r="G5" i="11"/>
  <c r="H4" i="11"/>
  <c r="G4" i="11"/>
  <c r="H3" i="11"/>
  <c r="W52" i="11" s="1"/>
  <c r="G3" i="11"/>
  <c r="A37" i="10"/>
  <c r="D26" i="10"/>
  <c r="C26" i="10"/>
  <c r="B26" i="10"/>
  <c r="A36" i="10" s="1"/>
  <c r="A39" i="10" s="1"/>
  <c r="D18" i="10"/>
  <c r="C18" i="10"/>
  <c r="B18" i="10"/>
  <c r="D17" i="10"/>
  <c r="I10" i="10" s="1"/>
  <c r="C17" i="10"/>
  <c r="H10" i="10" s="1"/>
  <c r="B17" i="10"/>
  <c r="G10" i="10" s="1"/>
  <c r="D16" i="10"/>
  <c r="C16" i="10"/>
  <c r="B16" i="10"/>
  <c r="X150" i="9"/>
  <c r="X149" i="9"/>
  <c r="X148" i="9"/>
  <c r="X147" i="9"/>
  <c r="X146" i="9"/>
  <c r="X145" i="9"/>
  <c r="X144" i="9"/>
  <c r="X143" i="9"/>
  <c r="X142" i="9"/>
  <c r="X141" i="9"/>
  <c r="X140" i="9"/>
  <c r="X139" i="9"/>
  <c r="X138" i="9"/>
  <c r="X137" i="9"/>
  <c r="X136" i="9"/>
  <c r="X135" i="9"/>
  <c r="X134" i="9"/>
  <c r="X133" i="9"/>
  <c r="X132" i="9"/>
  <c r="X131" i="9"/>
  <c r="X130" i="9"/>
  <c r="X126" i="9"/>
  <c r="X125" i="9"/>
  <c r="X124" i="9"/>
  <c r="X123" i="9"/>
  <c r="X122" i="9"/>
  <c r="X121" i="9"/>
  <c r="X120" i="9"/>
  <c r="X119" i="9"/>
  <c r="X118" i="9"/>
  <c r="D118" i="9"/>
  <c r="B118" i="9"/>
  <c r="X117" i="9"/>
  <c r="D117" i="9"/>
  <c r="B117" i="9"/>
  <c r="X116" i="9"/>
  <c r="D116" i="9"/>
  <c r="B116" i="9"/>
  <c r="X115" i="9"/>
  <c r="D115" i="9"/>
  <c r="B115" i="9"/>
  <c r="X114" i="9"/>
  <c r="D114" i="9"/>
  <c r="B114" i="9"/>
  <c r="X113" i="9"/>
  <c r="D113" i="9"/>
  <c r="B113" i="9"/>
  <c r="X112" i="9"/>
  <c r="D112" i="9"/>
  <c r="B112" i="9"/>
  <c r="E112" i="9" s="1"/>
  <c r="X111" i="9"/>
  <c r="D111" i="9"/>
  <c r="B111" i="9"/>
  <c r="X110" i="9"/>
  <c r="D110" i="9"/>
  <c r="B110" i="9"/>
  <c r="D109" i="9"/>
  <c r="B109" i="9"/>
  <c r="D108" i="9"/>
  <c r="B108" i="9"/>
  <c r="E108" i="9" s="1"/>
  <c r="D107" i="9"/>
  <c r="B107" i="9"/>
  <c r="D106" i="9"/>
  <c r="B106" i="9"/>
  <c r="X105" i="9"/>
  <c r="D105" i="9"/>
  <c r="B105" i="9"/>
  <c r="X104" i="9"/>
  <c r="D104" i="9"/>
  <c r="B104" i="9"/>
  <c r="X103" i="9"/>
  <c r="D103" i="9"/>
  <c r="B103" i="9"/>
  <c r="X102" i="9"/>
  <c r="D102" i="9"/>
  <c r="B102" i="9"/>
  <c r="X101" i="9"/>
  <c r="D101" i="9"/>
  <c r="B101" i="9"/>
  <c r="X100" i="9"/>
  <c r="D100" i="9"/>
  <c r="B100" i="9"/>
  <c r="X99" i="9"/>
  <c r="D99" i="9"/>
  <c r="B99" i="9"/>
  <c r="X98" i="9"/>
  <c r="D98" i="9"/>
  <c r="B98" i="9"/>
  <c r="X97" i="9"/>
  <c r="D97" i="9"/>
  <c r="B97" i="9"/>
  <c r="X96" i="9"/>
  <c r="D96" i="9"/>
  <c r="B96" i="9"/>
  <c r="X95" i="9"/>
  <c r="D95" i="9"/>
  <c r="B95" i="9"/>
  <c r="X94" i="9"/>
  <c r="D94" i="9"/>
  <c r="B94" i="9"/>
  <c r="X93" i="9"/>
  <c r="D93" i="9"/>
  <c r="B93" i="9"/>
  <c r="E93" i="9" s="1"/>
  <c r="X92" i="9"/>
  <c r="D92" i="9"/>
  <c r="B92" i="9"/>
  <c r="X91" i="9"/>
  <c r="D91" i="9"/>
  <c r="B91" i="9"/>
  <c r="X90" i="9"/>
  <c r="D90" i="9"/>
  <c r="B90" i="9"/>
  <c r="X89" i="9"/>
  <c r="D89" i="9"/>
  <c r="B89" i="9"/>
  <c r="D88" i="9"/>
  <c r="B88" i="9"/>
  <c r="E88" i="9" s="1"/>
  <c r="D87" i="9"/>
  <c r="B87" i="9"/>
  <c r="E87" i="9" s="1"/>
  <c r="D86" i="9"/>
  <c r="B86" i="9"/>
  <c r="AR85" i="9"/>
  <c r="D85" i="9"/>
  <c r="B85" i="9"/>
  <c r="E85" i="9" s="1"/>
  <c r="AR84" i="9"/>
  <c r="D84" i="9"/>
  <c r="B84" i="9"/>
  <c r="E84" i="9" s="1"/>
  <c r="AR83" i="9"/>
  <c r="D83" i="9"/>
  <c r="B83" i="9"/>
  <c r="E83" i="9" s="1"/>
  <c r="AR82" i="9"/>
  <c r="D82" i="9"/>
  <c r="B82" i="9"/>
  <c r="AR81" i="9"/>
  <c r="D81" i="9"/>
  <c r="B81" i="9"/>
  <c r="AR80" i="9"/>
  <c r="X80" i="9"/>
  <c r="D80" i="9"/>
  <c r="B80" i="9"/>
  <c r="AR79" i="9"/>
  <c r="X79" i="9"/>
  <c r="D79" i="9"/>
  <c r="B79" i="9"/>
  <c r="AR78" i="9"/>
  <c r="X78" i="9"/>
  <c r="D78" i="9"/>
  <c r="B78" i="9"/>
  <c r="AR77" i="9"/>
  <c r="X77" i="9"/>
  <c r="D77" i="9"/>
  <c r="B77" i="9"/>
  <c r="AR76" i="9"/>
  <c r="X76" i="9"/>
  <c r="D76" i="9"/>
  <c r="B76" i="9"/>
  <c r="AR75" i="9"/>
  <c r="X75" i="9"/>
  <c r="D75" i="9"/>
  <c r="B75" i="9"/>
  <c r="AR74" i="9"/>
  <c r="X74" i="9"/>
  <c r="D74" i="9"/>
  <c r="B74" i="9"/>
  <c r="AR73" i="9"/>
  <c r="X73" i="9"/>
  <c r="D73" i="9"/>
  <c r="B73" i="9"/>
  <c r="AR72" i="9"/>
  <c r="X72" i="9"/>
  <c r="D72" i="9"/>
  <c r="B72" i="9"/>
  <c r="AR71" i="9"/>
  <c r="X71" i="9"/>
  <c r="D71" i="9"/>
  <c r="B71" i="9"/>
  <c r="AR70" i="9"/>
  <c r="X70" i="9"/>
  <c r="D70" i="9"/>
  <c r="B70" i="9"/>
  <c r="AR69" i="9"/>
  <c r="X69" i="9"/>
  <c r="D69" i="9"/>
  <c r="B69" i="9"/>
  <c r="AR68" i="9"/>
  <c r="X68" i="9"/>
  <c r="D68" i="9"/>
  <c r="B68" i="9"/>
  <c r="AR67" i="9"/>
  <c r="X67" i="9"/>
  <c r="D67" i="9"/>
  <c r="B67" i="9"/>
  <c r="AR66" i="9"/>
  <c r="X66" i="9"/>
  <c r="D66" i="9"/>
  <c r="B66" i="9"/>
  <c r="E66" i="9" s="1"/>
  <c r="F66" i="9" s="1"/>
  <c r="M66" i="9" s="1"/>
  <c r="AR65" i="9"/>
  <c r="X65" i="9"/>
  <c r="D65" i="9"/>
  <c r="B65" i="9"/>
  <c r="AR64" i="9"/>
  <c r="X64" i="9"/>
  <c r="D64" i="9"/>
  <c r="B64" i="9"/>
  <c r="AR60" i="9"/>
  <c r="X60" i="9"/>
  <c r="D60" i="9"/>
  <c r="B60" i="9"/>
  <c r="AR59" i="9"/>
  <c r="X59" i="9"/>
  <c r="D59" i="9"/>
  <c r="B59" i="9"/>
  <c r="AR58" i="9"/>
  <c r="X58" i="9"/>
  <c r="D58" i="9"/>
  <c r="B58" i="9"/>
  <c r="AR57" i="9"/>
  <c r="X57" i="9"/>
  <c r="D57" i="9"/>
  <c r="B57" i="9"/>
  <c r="AR56" i="9"/>
  <c r="X56" i="9"/>
  <c r="D56" i="9"/>
  <c r="B56" i="9"/>
  <c r="AR55" i="9"/>
  <c r="X55" i="9"/>
  <c r="D55" i="9"/>
  <c r="B55" i="9"/>
  <c r="AR54" i="9"/>
  <c r="X54" i="9"/>
  <c r="D54" i="9"/>
  <c r="B54" i="9"/>
  <c r="AR53" i="9"/>
  <c r="X53" i="9"/>
  <c r="D53" i="9"/>
  <c r="B53" i="9"/>
  <c r="AR52" i="9"/>
  <c r="X52" i="9"/>
  <c r="D52" i="9"/>
  <c r="B52" i="9"/>
  <c r="AR51" i="9"/>
  <c r="X51" i="9"/>
  <c r="D51" i="9"/>
  <c r="B51" i="9"/>
  <c r="E51" i="9" s="1"/>
  <c r="AR50" i="9"/>
  <c r="X50" i="9"/>
  <c r="D50" i="9"/>
  <c r="B50" i="9"/>
  <c r="AR49" i="9"/>
  <c r="X49" i="9"/>
  <c r="D49" i="9"/>
  <c r="B49" i="9"/>
  <c r="AR48" i="9"/>
  <c r="X48" i="9"/>
  <c r="D48" i="9"/>
  <c r="B48" i="9"/>
  <c r="AR47" i="9"/>
  <c r="X47" i="9"/>
  <c r="D47" i="9"/>
  <c r="B47" i="9"/>
  <c r="E47" i="9" s="1"/>
  <c r="H47" i="9" s="1"/>
  <c r="AR46" i="9"/>
  <c r="X46" i="9"/>
  <c r="D46" i="9"/>
  <c r="B46" i="9"/>
  <c r="AR45" i="9"/>
  <c r="X45" i="9"/>
  <c r="D45" i="9"/>
  <c r="B45" i="9"/>
  <c r="AR44" i="9"/>
  <c r="X44" i="9"/>
  <c r="D44" i="9"/>
  <c r="B44" i="9"/>
  <c r="AR39" i="9"/>
  <c r="AR38" i="9"/>
  <c r="AR37" i="9"/>
  <c r="AR36" i="9"/>
  <c r="AR35" i="9"/>
  <c r="X35" i="9"/>
  <c r="D35" i="9"/>
  <c r="AR34" i="9"/>
  <c r="X34" i="9"/>
  <c r="D34" i="9"/>
  <c r="AR33" i="9"/>
  <c r="X33" i="9"/>
  <c r="D33" i="9"/>
  <c r="AR32" i="9"/>
  <c r="X32" i="9"/>
  <c r="D32" i="9"/>
  <c r="AR31" i="9"/>
  <c r="X31" i="9"/>
  <c r="D31" i="9"/>
  <c r="AR30" i="9"/>
  <c r="X30" i="9"/>
  <c r="D30" i="9"/>
  <c r="AR29" i="9"/>
  <c r="X29" i="9"/>
  <c r="D29" i="9"/>
  <c r="AR28" i="9"/>
  <c r="X28" i="9"/>
  <c r="D28" i="9"/>
  <c r="AR27" i="9"/>
  <c r="X27" i="9"/>
  <c r="D27" i="9"/>
  <c r="AR26" i="9"/>
  <c r="X26" i="9"/>
  <c r="D26" i="9"/>
  <c r="AR25" i="9"/>
  <c r="X25" i="9"/>
  <c r="D25" i="9"/>
  <c r="AR24" i="9"/>
  <c r="X24" i="9"/>
  <c r="D24" i="9"/>
  <c r="AR23" i="9"/>
  <c r="X23" i="9"/>
  <c r="D23" i="9"/>
  <c r="AR22" i="9"/>
  <c r="X22" i="9"/>
  <c r="D22" i="9"/>
  <c r="AR21" i="9"/>
  <c r="X21" i="9"/>
  <c r="D21" i="9"/>
  <c r="AR20" i="9"/>
  <c r="X20" i="9"/>
  <c r="D20" i="9"/>
  <c r="AR19" i="9"/>
  <c r="X19" i="9"/>
  <c r="D19" i="9"/>
  <c r="N13" i="9"/>
  <c r="C9" i="9"/>
  <c r="C6" i="9"/>
  <c r="B32" i="9" s="1"/>
  <c r="H5" i="9"/>
  <c r="AP55" i="9" s="1"/>
  <c r="AS55" i="9" s="1"/>
  <c r="G5" i="9"/>
  <c r="AP68" i="9" s="1"/>
  <c r="AS68" i="9" s="1"/>
  <c r="H4" i="9"/>
  <c r="V114" i="9" s="1"/>
  <c r="Y114" i="9" s="1"/>
  <c r="G4" i="9"/>
  <c r="H3" i="9"/>
  <c r="V53" i="9" s="1"/>
  <c r="Y53" i="9" s="1"/>
  <c r="G3" i="9"/>
  <c r="V72" i="9" s="1"/>
  <c r="Y72" i="9" s="1"/>
  <c r="D26" i="8"/>
  <c r="C26" i="8"/>
  <c r="B26" i="8"/>
  <c r="D18" i="8"/>
  <c r="C18" i="8"/>
  <c r="B18" i="8"/>
  <c r="D17" i="8"/>
  <c r="I9" i="8" s="1"/>
  <c r="C17" i="8"/>
  <c r="H9" i="8" s="1"/>
  <c r="B17" i="8"/>
  <c r="G9" i="8" s="1"/>
  <c r="D16" i="8"/>
  <c r="C16" i="8"/>
  <c r="B16" i="8"/>
  <c r="J16" i="1" l="1"/>
  <c r="E89" i="9"/>
  <c r="F3" i="11"/>
  <c r="W24" i="11" s="1"/>
  <c r="Z24" i="11" s="1"/>
  <c r="Z52" i="11"/>
  <c r="E101" i="11"/>
  <c r="F101" i="11" s="1"/>
  <c r="E113" i="11"/>
  <c r="G113" i="11" s="1"/>
  <c r="E78" i="11"/>
  <c r="E44" i="9"/>
  <c r="H44" i="9" s="1"/>
  <c r="E48" i="9"/>
  <c r="F48" i="9" s="1"/>
  <c r="E58" i="9"/>
  <c r="E60" i="9"/>
  <c r="E65" i="9"/>
  <c r="H65" i="9" s="1"/>
  <c r="E69" i="9"/>
  <c r="H69" i="9" s="1"/>
  <c r="E71" i="9"/>
  <c r="E79" i="9"/>
  <c r="G79" i="9" s="1"/>
  <c r="N79" i="9" s="1"/>
  <c r="E106" i="9"/>
  <c r="H106" i="9" s="1"/>
  <c r="E104" i="11"/>
  <c r="H104" i="11" s="1"/>
  <c r="E107" i="11"/>
  <c r="E52" i="11"/>
  <c r="F52" i="11" s="1"/>
  <c r="E96" i="11"/>
  <c r="E110" i="11"/>
  <c r="W27" i="1"/>
  <c r="W26" i="1"/>
  <c r="E98" i="9"/>
  <c r="H98" i="9" s="1"/>
  <c r="E50" i="11"/>
  <c r="H50" i="11" s="1"/>
  <c r="E54" i="11"/>
  <c r="E86" i="11"/>
  <c r="E95" i="11"/>
  <c r="E112" i="11"/>
  <c r="E68" i="9"/>
  <c r="H68" i="9" s="1"/>
  <c r="AR44" i="11"/>
  <c r="AU44" i="11" s="1"/>
  <c r="AW44" i="11" s="1"/>
  <c r="BJ44" i="11" s="1"/>
  <c r="E45" i="9"/>
  <c r="F45" i="9" s="1"/>
  <c r="E50" i="9"/>
  <c r="G50" i="9" s="1"/>
  <c r="E52" i="9"/>
  <c r="E54" i="9"/>
  <c r="H54" i="9" s="1"/>
  <c r="K66" i="9"/>
  <c r="E70" i="9"/>
  <c r="F70" i="9" s="1"/>
  <c r="M70" i="9" s="1"/>
  <c r="E74" i="9"/>
  <c r="H74" i="9" s="1"/>
  <c r="E76" i="9"/>
  <c r="G76" i="9" s="1"/>
  <c r="E110" i="9"/>
  <c r="H110" i="9" s="1"/>
  <c r="E84" i="11"/>
  <c r="H84" i="11" s="1"/>
  <c r="AP48" i="9"/>
  <c r="AS48" i="9" s="1"/>
  <c r="AT48" i="9" s="1"/>
  <c r="E47" i="11"/>
  <c r="H47" i="11" s="1"/>
  <c r="E115" i="11"/>
  <c r="V45" i="9"/>
  <c r="Y45" i="9" s="1"/>
  <c r="V54" i="9"/>
  <c r="Y54" i="9" s="1"/>
  <c r="Z54" i="9" s="1"/>
  <c r="E56" i="9"/>
  <c r="H56" i="9" s="1"/>
  <c r="F4" i="11"/>
  <c r="W91" i="11" s="1"/>
  <c r="Z91" i="11" s="1"/>
  <c r="B24" i="11"/>
  <c r="E24" i="11" s="1"/>
  <c r="F24" i="11" s="1"/>
  <c r="B29" i="11"/>
  <c r="E29" i="11" s="1"/>
  <c r="E53" i="11"/>
  <c r="G53" i="11" s="1"/>
  <c r="E55" i="11"/>
  <c r="V47" i="9"/>
  <c r="Y47" i="9" s="1"/>
  <c r="Z47" i="9" s="1"/>
  <c r="E49" i="9"/>
  <c r="H49" i="9" s="1"/>
  <c r="E67" i="9"/>
  <c r="H67" i="9" s="1"/>
  <c r="E82" i="11"/>
  <c r="G82" i="11" s="1"/>
  <c r="L23" i="1"/>
  <c r="E53" i="9"/>
  <c r="W22" i="11"/>
  <c r="Z22" i="11" s="1"/>
  <c r="AA22" i="11" s="1"/>
  <c r="AK22" i="11" s="1"/>
  <c r="E80" i="11"/>
  <c r="V49" i="9"/>
  <c r="Y49" i="9" s="1"/>
  <c r="E57" i="9"/>
  <c r="H57" i="9" s="1"/>
  <c r="E59" i="9"/>
  <c r="F59" i="9" s="1"/>
  <c r="M59" i="9" s="1"/>
  <c r="E73" i="9"/>
  <c r="H73" i="9" s="1"/>
  <c r="E75" i="9"/>
  <c r="F75" i="9" s="1"/>
  <c r="O75" i="9" s="1"/>
  <c r="E81" i="9"/>
  <c r="G81" i="9" s="1"/>
  <c r="E100" i="9"/>
  <c r="G100" i="9" s="1"/>
  <c r="E46" i="11"/>
  <c r="E48" i="11"/>
  <c r="G48" i="11" s="1"/>
  <c r="E83" i="11"/>
  <c r="G83" i="11" s="1"/>
  <c r="E97" i="11"/>
  <c r="F97" i="11" s="1"/>
  <c r="E108" i="11"/>
  <c r="G108" i="11" s="1"/>
  <c r="L15" i="1"/>
  <c r="G84" i="9"/>
  <c r="H84" i="9"/>
  <c r="F84" i="9"/>
  <c r="G73" i="11"/>
  <c r="O73" i="11" s="1"/>
  <c r="H73" i="11"/>
  <c r="H50" i="9"/>
  <c r="G55" i="11"/>
  <c r="Q55" i="11" s="1"/>
  <c r="H55" i="11"/>
  <c r="F55" i="11"/>
  <c r="N55" i="11" s="1"/>
  <c r="H96" i="11"/>
  <c r="G96" i="11"/>
  <c r="F96" i="11"/>
  <c r="H76" i="11"/>
  <c r="G76" i="11"/>
  <c r="Q76" i="11" s="1"/>
  <c r="F76" i="11"/>
  <c r="N76" i="11" s="1"/>
  <c r="E32" i="9"/>
  <c r="E46" i="9"/>
  <c r="V52" i="9"/>
  <c r="Y52" i="9" s="1"/>
  <c r="Z52" i="9" s="1"/>
  <c r="E55" i="9"/>
  <c r="F55" i="9" s="1"/>
  <c r="E72" i="9"/>
  <c r="H72" i="9" s="1"/>
  <c r="E78" i="9"/>
  <c r="H78" i="9" s="1"/>
  <c r="E91" i="9"/>
  <c r="E118" i="9"/>
  <c r="H118" i="9" s="1"/>
  <c r="E44" i="11"/>
  <c r="W55" i="11"/>
  <c r="Z55" i="11" s="1"/>
  <c r="E64" i="11"/>
  <c r="G64" i="11" s="1"/>
  <c r="E66" i="11"/>
  <c r="E91" i="11"/>
  <c r="H91" i="11" s="1"/>
  <c r="V58" i="9"/>
  <c r="Y58" i="9" s="1"/>
  <c r="AA58" i="9" s="1"/>
  <c r="V46" i="9"/>
  <c r="Y46" i="9" s="1"/>
  <c r="F65" i="9"/>
  <c r="Q65" i="9" s="1"/>
  <c r="O66" i="9"/>
  <c r="G69" i="9"/>
  <c r="W44" i="11"/>
  <c r="Z44" i="11" s="1"/>
  <c r="E77" i="11"/>
  <c r="H77" i="11" s="1"/>
  <c r="E102" i="11"/>
  <c r="B33" i="9"/>
  <c r="E33" i="9" s="1"/>
  <c r="F33" i="9" s="1"/>
  <c r="B35" i="9"/>
  <c r="E35" i="9" s="1"/>
  <c r="AP47" i="9"/>
  <c r="AS47" i="9" s="1"/>
  <c r="AT47" i="9" s="1"/>
  <c r="V57" i="9"/>
  <c r="Y57" i="9" s="1"/>
  <c r="AA57" i="9" s="1"/>
  <c r="AP58" i="9"/>
  <c r="AS58" i="9" s="1"/>
  <c r="AP59" i="9"/>
  <c r="AS59" i="9" s="1"/>
  <c r="AT59" i="9" s="1"/>
  <c r="E64" i="9"/>
  <c r="H64" i="9" s="1"/>
  <c r="G65" i="9"/>
  <c r="R65" i="9" s="1"/>
  <c r="V75" i="9"/>
  <c r="Y75" i="9" s="1"/>
  <c r="AA75" i="9" s="1"/>
  <c r="AL75" i="9" s="1"/>
  <c r="E82" i="9"/>
  <c r="E86" i="9"/>
  <c r="F86" i="9" s="1"/>
  <c r="E109" i="9"/>
  <c r="B22" i="11"/>
  <c r="E22" i="11" s="1"/>
  <c r="W33" i="11"/>
  <c r="Z33" i="11" s="1"/>
  <c r="E65" i="11"/>
  <c r="G65" i="11" s="1"/>
  <c r="E81" i="11"/>
  <c r="E92" i="11"/>
  <c r="F92" i="11" s="1"/>
  <c r="V26" i="1"/>
  <c r="B23" i="9"/>
  <c r="E23" i="9" s="1"/>
  <c r="F23" i="9" s="1"/>
  <c r="S23" i="9" s="1"/>
  <c r="F4" i="9"/>
  <c r="V91" i="9" s="1"/>
  <c r="Y91" i="9" s="1"/>
  <c r="B19" i="9"/>
  <c r="B31" i="9"/>
  <c r="E31" i="9" s="1"/>
  <c r="H31" i="9" s="1"/>
  <c r="AP46" i="9"/>
  <c r="AS46" i="9" s="1"/>
  <c r="V64" i="9"/>
  <c r="Y64" i="9" s="1"/>
  <c r="AA64" i="9" s="1"/>
  <c r="V65" i="9"/>
  <c r="Y65" i="9" s="1"/>
  <c r="Z65" i="9" s="1"/>
  <c r="V68" i="9"/>
  <c r="Y68" i="9" s="1"/>
  <c r="E77" i="9"/>
  <c r="E59" i="11"/>
  <c r="F59" i="11" s="1"/>
  <c r="F112" i="11"/>
  <c r="E114" i="11"/>
  <c r="E116" i="11"/>
  <c r="G116" i="11" s="1"/>
  <c r="V71" i="9"/>
  <c r="Y71" i="9" s="1"/>
  <c r="Z71" i="9" s="1"/>
  <c r="W50" i="11"/>
  <c r="Z50" i="11" s="1"/>
  <c r="AA50" i="11" s="1"/>
  <c r="G56" i="11"/>
  <c r="M56" i="11" s="1"/>
  <c r="E58" i="11"/>
  <c r="W59" i="11"/>
  <c r="Z59" i="11" s="1"/>
  <c r="E90" i="11"/>
  <c r="F90" i="11" s="1"/>
  <c r="G101" i="11"/>
  <c r="B27" i="9"/>
  <c r="B34" i="9"/>
  <c r="E34" i="9" s="1"/>
  <c r="H34" i="9" s="1"/>
  <c r="AP44" i="9"/>
  <c r="AS44" i="9" s="1"/>
  <c r="AP49" i="9"/>
  <c r="AS49" i="9" s="1"/>
  <c r="AU49" i="9" s="1"/>
  <c r="BD49" i="9" s="1"/>
  <c r="AP50" i="9"/>
  <c r="AS50" i="9" s="1"/>
  <c r="AU50" i="9" s="1"/>
  <c r="AP53" i="9"/>
  <c r="AS53" i="9" s="1"/>
  <c r="AT53" i="9" s="1"/>
  <c r="BG53" i="9" s="1"/>
  <c r="O70" i="9"/>
  <c r="V73" i="9"/>
  <c r="Y73" i="9" s="1"/>
  <c r="AA73" i="9" s="1"/>
  <c r="AB22" i="11"/>
  <c r="AP22" i="11" s="1"/>
  <c r="E69" i="11"/>
  <c r="E88" i="11"/>
  <c r="E93" i="11"/>
  <c r="H101" i="11"/>
  <c r="E106" i="11"/>
  <c r="E109" i="11"/>
  <c r="J24" i="1"/>
  <c r="L24" i="1"/>
  <c r="W24" i="1"/>
  <c r="V24" i="1"/>
  <c r="H35" i="9"/>
  <c r="F35" i="9"/>
  <c r="G35" i="9"/>
  <c r="AT46" i="9"/>
  <c r="AU46" i="9"/>
  <c r="Z45" i="9"/>
  <c r="AA45" i="9"/>
  <c r="AA68" i="9"/>
  <c r="Z68" i="9"/>
  <c r="AA114" i="9"/>
  <c r="Z114" i="9"/>
  <c r="G64" i="9"/>
  <c r="AT68" i="9"/>
  <c r="AU68" i="9"/>
  <c r="G32" i="9"/>
  <c r="F32" i="9"/>
  <c r="H32" i="9"/>
  <c r="AA72" i="9"/>
  <c r="Z72" i="9"/>
  <c r="H46" i="9"/>
  <c r="F46" i="9"/>
  <c r="AA53" i="9"/>
  <c r="Z53" i="9"/>
  <c r="G78" i="9"/>
  <c r="G85" i="9"/>
  <c r="H85" i="9"/>
  <c r="F85" i="9"/>
  <c r="K23" i="9"/>
  <c r="AB47" i="9"/>
  <c r="AK47" i="9"/>
  <c r="AG47" i="9"/>
  <c r="AI47" i="9"/>
  <c r="AT55" i="9"/>
  <c r="AU55" i="9"/>
  <c r="BG48" i="9"/>
  <c r="AY48" i="9"/>
  <c r="AV48" i="9"/>
  <c r="BE48" i="9"/>
  <c r="BC48" i="9"/>
  <c r="BA48" i="9"/>
  <c r="BH49" i="9"/>
  <c r="BF49" i="9"/>
  <c r="H53" i="9"/>
  <c r="F53" i="9"/>
  <c r="G53" i="9"/>
  <c r="H58" i="9"/>
  <c r="G58" i="9"/>
  <c r="F58" i="9"/>
  <c r="AU58" i="9"/>
  <c r="AT58" i="9"/>
  <c r="V148" i="9"/>
  <c r="Y148" i="9" s="1"/>
  <c r="V147" i="9"/>
  <c r="Y147" i="9" s="1"/>
  <c r="V145" i="9"/>
  <c r="Y145" i="9" s="1"/>
  <c r="V143" i="9"/>
  <c r="Y143" i="9" s="1"/>
  <c r="V141" i="9"/>
  <c r="Y141" i="9" s="1"/>
  <c r="V139" i="9"/>
  <c r="Y139" i="9" s="1"/>
  <c r="V136" i="9"/>
  <c r="Y136" i="9" s="1"/>
  <c r="V132" i="9"/>
  <c r="Y132" i="9" s="1"/>
  <c r="V146" i="9"/>
  <c r="Y146" i="9" s="1"/>
  <c r="V144" i="9"/>
  <c r="Y144" i="9" s="1"/>
  <c r="V142" i="9"/>
  <c r="Y142" i="9" s="1"/>
  <c r="V140" i="9"/>
  <c r="Y140" i="9" s="1"/>
  <c r="V130" i="9"/>
  <c r="Y130" i="9" s="1"/>
  <c r="V149" i="9"/>
  <c r="Y149" i="9" s="1"/>
  <c r="V134" i="9"/>
  <c r="Y134" i="9" s="1"/>
  <c r="V133" i="9"/>
  <c r="Y133" i="9" s="1"/>
  <c r="V131" i="9"/>
  <c r="Y131" i="9" s="1"/>
  <c r="V150" i="9"/>
  <c r="Y150" i="9" s="1"/>
  <c r="V137" i="9"/>
  <c r="Y137" i="9" s="1"/>
  <c r="V135" i="9"/>
  <c r="Y135" i="9" s="1"/>
  <c r="V138" i="9"/>
  <c r="Y138" i="9" s="1"/>
  <c r="S48" i="11"/>
  <c r="Q48" i="11"/>
  <c r="O48" i="11"/>
  <c r="M48" i="11"/>
  <c r="U48" i="11"/>
  <c r="AA52" i="9"/>
  <c r="AU59" i="9"/>
  <c r="BA53" i="9"/>
  <c r="BC53" i="9"/>
  <c r="AY53" i="9"/>
  <c r="AV53" i="9"/>
  <c r="F100" i="9"/>
  <c r="H65" i="11"/>
  <c r="E27" i="9"/>
  <c r="F47" i="9"/>
  <c r="AU48" i="9"/>
  <c r="AT49" i="9"/>
  <c r="AP65" i="9"/>
  <c r="AS65" i="9" s="1"/>
  <c r="AP69" i="9"/>
  <c r="AS69" i="9" s="1"/>
  <c r="H71" i="9"/>
  <c r="G71" i="9"/>
  <c r="F71" i="9"/>
  <c r="AP72" i="9"/>
  <c r="AS72" i="9" s="1"/>
  <c r="AP84" i="9"/>
  <c r="AS84" i="9" s="1"/>
  <c r="V126" i="9"/>
  <c r="Y126" i="9" s="1"/>
  <c r="V125" i="9"/>
  <c r="Y125" i="9" s="1"/>
  <c r="V124" i="9"/>
  <c r="Y124" i="9" s="1"/>
  <c r="V123" i="9"/>
  <c r="Y123" i="9" s="1"/>
  <c r="V122" i="9"/>
  <c r="Y122" i="9" s="1"/>
  <c r="V121" i="9"/>
  <c r="Y121" i="9" s="1"/>
  <c r="V120" i="9"/>
  <c r="Y120" i="9" s="1"/>
  <c r="V119" i="9"/>
  <c r="Y119" i="9" s="1"/>
  <c r="V112" i="9"/>
  <c r="Y112" i="9" s="1"/>
  <c r="V115" i="9"/>
  <c r="Y115" i="9" s="1"/>
  <c r="V118" i="9"/>
  <c r="Y118" i="9" s="1"/>
  <c r="V110" i="9"/>
  <c r="Y110" i="9" s="1"/>
  <c r="V116" i="9"/>
  <c r="Y116" i="9" s="1"/>
  <c r="V117" i="9"/>
  <c r="Y117" i="9" s="1"/>
  <c r="V113" i="9"/>
  <c r="Y113" i="9" s="1"/>
  <c r="F87" i="9"/>
  <c r="H87" i="9"/>
  <c r="G87" i="9"/>
  <c r="G55" i="9"/>
  <c r="AA47" i="9"/>
  <c r="H23" i="9"/>
  <c r="G45" i="9"/>
  <c r="G47" i="9"/>
  <c r="AE47" i="9"/>
  <c r="AA49" i="9"/>
  <c r="Z49" i="9"/>
  <c r="AU53" i="9"/>
  <c r="S65" i="9"/>
  <c r="K65" i="9"/>
  <c r="M65" i="9"/>
  <c r="T69" i="9"/>
  <c r="L69" i="9"/>
  <c r="R69" i="9"/>
  <c r="P69" i="9"/>
  <c r="N69" i="9"/>
  <c r="G89" i="9"/>
  <c r="H89" i="9"/>
  <c r="F89" i="9"/>
  <c r="V111" i="9"/>
  <c r="Y111" i="9" s="1"/>
  <c r="H46" i="11"/>
  <c r="F46" i="11"/>
  <c r="G46" i="11"/>
  <c r="AB59" i="11"/>
  <c r="AA59" i="11"/>
  <c r="Q23" i="9"/>
  <c r="M23" i="9"/>
  <c r="F51" i="9"/>
  <c r="H51" i="9"/>
  <c r="G51" i="9"/>
  <c r="H22" i="11"/>
  <c r="I22" i="11" s="1"/>
  <c r="G22" i="11"/>
  <c r="F22" i="11"/>
  <c r="AP77" i="9"/>
  <c r="AS77" i="9" s="1"/>
  <c r="AP85" i="9"/>
  <c r="AS85" i="9" s="1"/>
  <c r="AP79" i="9"/>
  <c r="AS79" i="9" s="1"/>
  <c r="AP78" i="9"/>
  <c r="AS78" i="9" s="1"/>
  <c r="AP80" i="9"/>
  <c r="AS80" i="9" s="1"/>
  <c r="AP71" i="9"/>
  <c r="AS71" i="9" s="1"/>
  <c r="AP67" i="9"/>
  <c r="AS67" i="9" s="1"/>
  <c r="AP83" i="9"/>
  <c r="AS83" i="9" s="1"/>
  <c r="AP81" i="9"/>
  <c r="AS81" i="9" s="1"/>
  <c r="AP82" i="9"/>
  <c r="AS82" i="9" s="1"/>
  <c r="AP66" i="9"/>
  <c r="AS66" i="9" s="1"/>
  <c r="AP73" i="9"/>
  <c r="AS73" i="9" s="1"/>
  <c r="AP75" i="9"/>
  <c r="AS75" i="9" s="1"/>
  <c r="AP64" i="9"/>
  <c r="AS64" i="9" s="1"/>
  <c r="AP70" i="9"/>
  <c r="AS70" i="9" s="1"/>
  <c r="AP76" i="9"/>
  <c r="AS76" i="9" s="1"/>
  <c r="AP74" i="9"/>
  <c r="AS74" i="9" s="1"/>
  <c r="G46" i="9"/>
  <c r="G83" i="9"/>
  <c r="F83" i="9"/>
  <c r="H83" i="9"/>
  <c r="V95" i="9"/>
  <c r="Y95" i="9" s="1"/>
  <c r="E19" i="9"/>
  <c r="Z46" i="9"/>
  <c r="AA46" i="9"/>
  <c r="AM47" i="9"/>
  <c r="H52" i="9"/>
  <c r="G52" i="9"/>
  <c r="F52" i="9"/>
  <c r="BE53" i="9"/>
  <c r="P65" i="9"/>
  <c r="N65" i="9"/>
  <c r="G77" i="9"/>
  <c r="F77" i="9"/>
  <c r="H77" i="9"/>
  <c r="H86" i="9"/>
  <c r="O49" i="11"/>
  <c r="M49" i="11"/>
  <c r="U49" i="11"/>
  <c r="S49" i="11"/>
  <c r="Q49" i="11"/>
  <c r="Q70" i="9"/>
  <c r="H91" i="9"/>
  <c r="G91" i="9"/>
  <c r="G93" i="9"/>
  <c r="F93" i="9"/>
  <c r="W105" i="11"/>
  <c r="Z105" i="11" s="1"/>
  <c r="W100" i="11"/>
  <c r="Z100" i="11" s="1"/>
  <c r="W93" i="11"/>
  <c r="Z93" i="11" s="1"/>
  <c r="W97" i="11"/>
  <c r="Z97" i="11" s="1"/>
  <c r="F5" i="9"/>
  <c r="B22" i="9"/>
  <c r="E22" i="9" s="1"/>
  <c r="B26" i="9"/>
  <c r="E26" i="9" s="1"/>
  <c r="B30" i="9"/>
  <c r="E30" i="9" s="1"/>
  <c r="V67" i="9"/>
  <c r="Y67" i="9" s="1"/>
  <c r="S70" i="9"/>
  <c r="V77" i="9"/>
  <c r="Y77" i="9" s="1"/>
  <c r="F81" i="9"/>
  <c r="AI22" i="11"/>
  <c r="AO22" i="11"/>
  <c r="AM22" i="11"/>
  <c r="AC22" i="11"/>
  <c r="AD22" i="11" s="1"/>
  <c r="G70" i="9"/>
  <c r="F76" i="9"/>
  <c r="H81" i="9"/>
  <c r="H24" i="11"/>
  <c r="I24" i="11" s="1"/>
  <c r="U56" i="11"/>
  <c r="Q56" i="11"/>
  <c r="O56" i="11"/>
  <c r="H64" i="11"/>
  <c r="F64" i="11"/>
  <c r="F94" i="11"/>
  <c r="G94" i="11"/>
  <c r="H94" i="11"/>
  <c r="F3" i="9"/>
  <c r="AP60" i="9"/>
  <c r="AS60" i="9" s="1"/>
  <c r="AP56" i="9"/>
  <c r="AS56" i="9" s="1"/>
  <c r="AP52" i="9"/>
  <c r="AS52" i="9" s="1"/>
  <c r="B21" i="9"/>
  <c r="E21" i="9" s="1"/>
  <c r="B25" i="9"/>
  <c r="E25" i="9" s="1"/>
  <c r="B29" i="9"/>
  <c r="E29" i="9" s="1"/>
  <c r="AP51" i="9"/>
  <c r="AS51" i="9" s="1"/>
  <c r="F54" i="9"/>
  <c r="H60" i="9"/>
  <c r="G60" i="9"/>
  <c r="F60" i="9"/>
  <c r="V60" i="9"/>
  <c r="Y60" i="9" s="1"/>
  <c r="S66" i="9"/>
  <c r="H70" i="9"/>
  <c r="G110" i="9"/>
  <c r="F110" i="9"/>
  <c r="E113" i="9"/>
  <c r="E116" i="9"/>
  <c r="G118" i="9"/>
  <c r="A44" i="10"/>
  <c r="A43" i="10"/>
  <c r="A42" i="10"/>
  <c r="A40" i="10"/>
  <c r="A41" i="10"/>
  <c r="F91" i="9"/>
  <c r="H93" i="9"/>
  <c r="V44" i="9"/>
  <c r="Y44" i="9" s="1"/>
  <c r="AP45" i="9"/>
  <c r="AS45" i="9" s="1"/>
  <c r="V48" i="9"/>
  <c r="Y48" i="9" s="1"/>
  <c r="V50" i="9"/>
  <c r="Y50" i="9" s="1"/>
  <c r="G54" i="9"/>
  <c r="AP54" i="9"/>
  <c r="AS54" i="9" s="1"/>
  <c r="AP57" i="9"/>
  <c r="AS57" i="9" s="1"/>
  <c r="G66" i="9"/>
  <c r="V69" i="9"/>
  <c r="Y69" i="9" s="1"/>
  <c r="Z75" i="9"/>
  <c r="G82" i="9"/>
  <c r="H82" i="9"/>
  <c r="F82" i="9"/>
  <c r="G108" i="9"/>
  <c r="F108" i="9"/>
  <c r="G112" i="9"/>
  <c r="F112" i="9"/>
  <c r="H112" i="9"/>
  <c r="AB33" i="11"/>
  <c r="AA33" i="11"/>
  <c r="Q66" i="9"/>
  <c r="V80" i="9"/>
  <c r="Y80" i="9" s="1"/>
  <c r="V76" i="9"/>
  <c r="Y76" i="9" s="1"/>
  <c r="V79" i="9"/>
  <c r="Y79" i="9" s="1"/>
  <c r="V78" i="9"/>
  <c r="Y78" i="9" s="1"/>
  <c r="V74" i="9"/>
  <c r="Y74" i="9" s="1"/>
  <c r="V70" i="9"/>
  <c r="Y70" i="9" s="1"/>
  <c r="V66" i="9"/>
  <c r="Y66" i="9" s="1"/>
  <c r="V59" i="9"/>
  <c r="Y59" i="9" s="1"/>
  <c r="V55" i="9"/>
  <c r="Y55" i="9" s="1"/>
  <c r="V51" i="9"/>
  <c r="Y51" i="9" s="1"/>
  <c r="B20" i="9"/>
  <c r="E20" i="9" s="1"/>
  <c r="B24" i="9"/>
  <c r="E24" i="9" s="1"/>
  <c r="B28" i="9"/>
  <c r="E28" i="9" s="1"/>
  <c r="V56" i="9"/>
  <c r="Y56" i="9" s="1"/>
  <c r="S59" i="9"/>
  <c r="H66" i="9"/>
  <c r="F69" i="9"/>
  <c r="K70" i="9"/>
  <c r="F79" i="9"/>
  <c r="H88" i="9"/>
  <c r="G88" i="9"/>
  <c r="F88" i="9"/>
  <c r="G98" i="9"/>
  <c r="F98" i="9"/>
  <c r="E101" i="9"/>
  <c r="E104" i="9"/>
  <c r="H108" i="9"/>
  <c r="H49" i="11"/>
  <c r="F49" i="11"/>
  <c r="E103" i="9"/>
  <c r="E115" i="9"/>
  <c r="E90" i="9"/>
  <c r="E97" i="9"/>
  <c r="E105" i="9"/>
  <c r="E107" i="9"/>
  <c r="E117" i="9"/>
  <c r="AR78" i="11"/>
  <c r="AU78" i="11" s="1"/>
  <c r="AR83" i="11"/>
  <c r="AU83" i="11" s="1"/>
  <c r="AR72" i="11"/>
  <c r="AU72" i="11" s="1"/>
  <c r="AR79" i="11"/>
  <c r="AU79" i="11" s="1"/>
  <c r="AR74" i="11"/>
  <c r="AU74" i="11" s="1"/>
  <c r="AR84" i="11"/>
  <c r="AU84" i="11" s="1"/>
  <c r="AR75" i="11"/>
  <c r="AU75" i="11" s="1"/>
  <c r="AR67" i="11"/>
  <c r="AU67" i="11" s="1"/>
  <c r="AR71" i="11"/>
  <c r="AU71" i="11" s="1"/>
  <c r="AR82" i="11"/>
  <c r="AU82" i="11" s="1"/>
  <c r="AR70" i="11"/>
  <c r="AU70" i="11" s="1"/>
  <c r="AR68" i="11"/>
  <c r="AU68" i="11" s="1"/>
  <c r="AR80" i="11"/>
  <c r="AU80" i="11" s="1"/>
  <c r="AR77" i="11"/>
  <c r="AU77" i="11" s="1"/>
  <c r="AR73" i="11"/>
  <c r="AU73" i="11" s="1"/>
  <c r="AR69" i="11"/>
  <c r="AU69" i="11" s="1"/>
  <c r="AR64" i="11"/>
  <c r="AU64" i="11" s="1"/>
  <c r="AR65" i="11"/>
  <c r="AU65" i="11" s="1"/>
  <c r="AR66" i="11"/>
  <c r="AU66" i="11" s="1"/>
  <c r="AR85" i="11"/>
  <c r="AU85" i="11" s="1"/>
  <c r="AR81" i="11"/>
  <c r="AU81" i="11" s="1"/>
  <c r="E102" i="9"/>
  <c r="E114" i="9"/>
  <c r="H44" i="11"/>
  <c r="G44" i="11"/>
  <c r="F44" i="11"/>
  <c r="E80" i="9"/>
  <c r="E92" i="9"/>
  <c r="E94" i="9"/>
  <c r="E95" i="9"/>
  <c r="E96" i="9"/>
  <c r="E99" i="9"/>
  <c r="E111" i="9"/>
  <c r="AB24" i="11"/>
  <c r="AA24" i="11"/>
  <c r="H32" i="11"/>
  <c r="I32" i="11" s="1"/>
  <c r="G32" i="11"/>
  <c r="F32" i="11"/>
  <c r="G29" i="11"/>
  <c r="H29" i="11"/>
  <c r="I29" i="11" s="1"/>
  <c r="F29" i="11"/>
  <c r="BH44" i="11"/>
  <c r="S60" i="11"/>
  <c r="Q60" i="11"/>
  <c r="O60" i="11"/>
  <c r="M60" i="11"/>
  <c r="U60" i="11"/>
  <c r="AR76" i="11"/>
  <c r="AU76" i="11" s="1"/>
  <c r="G115" i="11"/>
  <c r="H115" i="11"/>
  <c r="F115" i="11"/>
  <c r="AR60" i="11"/>
  <c r="AU60" i="11" s="1"/>
  <c r="AR52" i="11"/>
  <c r="AU52" i="11" s="1"/>
  <c r="AR58" i="11"/>
  <c r="AU58" i="11" s="1"/>
  <c r="AR53" i="11"/>
  <c r="AU53" i="11" s="1"/>
  <c r="AR57" i="11"/>
  <c r="AU57" i="11" s="1"/>
  <c r="AR54" i="11"/>
  <c r="AU54" i="11" s="1"/>
  <c r="AR46" i="11"/>
  <c r="AU46" i="11" s="1"/>
  <c r="AR56" i="11"/>
  <c r="AU56" i="11" s="1"/>
  <c r="AR48" i="11"/>
  <c r="AU48" i="11" s="1"/>
  <c r="AR47" i="11"/>
  <c r="AU47" i="11" s="1"/>
  <c r="AR49" i="11"/>
  <c r="AU49" i="11" s="1"/>
  <c r="AR55" i="11"/>
  <c r="AU55" i="11" s="1"/>
  <c r="AR51" i="11"/>
  <c r="AU51" i="11" s="1"/>
  <c r="AR59" i="11"/>
  <c r="AU59" i="11" s="1"/>
  <c r="AR50" i="11"/>
  <c r="AU50" i="11" s="1"/>
  <c r="B23" i="11"/>
  <c r="E23" i="11" s="1"/>
  <c r="B28" i="11"/>
  <c r="E28" i="11" s="1"/>
  <c r="AA52" i="11"/>
  <c r="AB52" i="11"/>
  <c r="H53" i="11"/>
  <c r="F53" i="11"/>
  <c r="W35" i="11"/>
  <c r="Z35" i="11" s="1"/>
  <c r="W27" i="11"/>
  <c r="Z27" i="11" s="1"/>
  <c r="W29" i="11"/>
  <c r="Z29" i="11" s="1"/>
  <c r="W28" i="11"/>
  <c r="Z28" i="11" s="1"/>
  <c r="W25" i="11"/>
  <c r="Z25" i="11" s="1"/>
  <c r="W20" i="11"/>
  <c r="Z20" i="11" s="1"/>
  <c r="W31" i="11"/>
  <c r="Z31" i="11" s="1"/>
  <c r="W21" i="11"/>
  <c r="Z21" i="11" s="1"/>
  <c r="W34" i="11"/>
  <c r="Z34" i="11" s="1"/>
  <c r="W23" i="11"/>
  <c r="Z23" i="11" s="1"/>
  <c r="B33" i="11"/>
  <c r="E33" i="11" s="1"/>
  <c r="B35" i="11"/>
  <c r="E35" i="11" s="1"/>
  <c r="B27" i="11"/>
  <c r="E27" i="11" s="1"/>
  <c r="B31" i="11"/>
  <c r="E31" i="11" s="1"/>
  <c r="B25" i="11"/>
  <c r="E25" i="11" s="1"/>
  <c r="F5" i="11"/>
  <c r="B34" i="11"/>
  <c r="E34" i="11" s="1"/>
  <c r="B30" i="11"/>
  <c r="E30" i="11" s="1"/>
  <c r="B19" i="11"/>
  <c r="E19" i="11" s="1"/>
  <c r="B21" i="11"/>
  <c r="E21" i="11" s="1"/>
  <c r="B20" i="11"/>
  <c r="E20" i="11" s="1"/>
  <c r="AW45" i="11"/>
  <c r="AV45" i="11"/>
  <c r="H54" i="11"/>
  <c r="F54" i="11"/>
  <c r="G54" i="11"/>
  <c r="W77" i="11"/>
  <c r="Z77" i="11" s="1"/>
  <c r="W69" i="11"/>
  <c r="Z69" i="11" s="1"/>
  <c r="W80" i="11"/>
  <c r="Z80" i="11" s="1"/>
  <c r="W71" i="11"/>
  <c r="Z71" i="11" s="1"/>
  <c r="W74" i="11"/>
  <c r="Z74" i="11" s="1"/>
  <c r="W70" i="11"/>
  <c r="Z70" i="11" s="1"/>
  <c r="W78" i="11"/>
  <c r="Z78" i="11" s="1"/>
  <c r="W66" i="11"/>
  <c r="Z66" i="11" s="1"/>
  <c r="W76" i="11"/>
  <c r="Z76" i="11" s="1"/>
  <c r="W68" i="11"/>
  <c r="Z68" i="11" s="1"/>
  <c r="W64" i="11"/>
  <c r="Z64" i="11" s="1"/>
  <c r="W73" i="11"/>
  <c r="Z73" i="11" s="1"/>
  <c r="W72" i="11"/>
  <c r="Z72" i="11" s="1"/>
  <c r="W75" i="11"/>
  <c r="Z75" i="11" s="1"/>
  <c r="W67" i="11"/>
  <c r="Z67" i="11" s="1"/>
  <c r="W79" i="11"/>
  <c r="Z79" i="11" s="1"/>
  <c r="W65" i="11"/>
  <c r="Z65" i="11" s="1"/>
  <c r="B26" i="11"/>
  <c r="E26" i="11" s="1"/>
  <c r="W26" i="11"/>
  <c r="Z26" i="11" s="1"/>
  <c r="AB44" i="11"/>
  <c r="AA44" i="11"/>
  <c r="G47" i="11"/>
  <c r="F47" i="11"/>
  <c r="H89" i="11"/>
  <c r="G89" i="11"/>
  <c r="F89" i="11"/>
  <c r="W57" i="11"/>
  <c r="Z57" i="11" s="1"/>
  <c r="W58" i="11"/>
  <c r="Z58" i="11" s="1"/>
  <c r="W51" i="11"/>
  <c r="Z51" i="11" s="1"/>
  <c r="W53" i="11"/>
  <c r="Z53" i="11" s="1"/>
  <c r="W45" i="11"/>
  <c r="Z45" i="11" s="1"/>
  <c r="W56" i="11"/>
  <c r="Z56" i="11" s="1"/>
  <c r="W46" i="11"/>
  <c r="Z46" i="11" s="1"/>
  <c r="H60" i="11"/>
  <c r="F60" i="11"/>
  <c r="H67" i="11"/>
  <c r="F67" i="11"/>
  <c r="G67" i="11"/>
  <c r="H74" i="11"/>
  <c r="F74" i="11"/>
  <c r="G74" i="11"/>
  <c r="W145" i="11"/>
  <c r="Z145" i="11" s="1"/>
  <c r="W137" i="11"/>
  <c r="Z137" i="11" s="1"/>
  <c r="W150" i="11"/>
  <c r="Z150" i="11" s="1"/>
  <c r="W142" i="11"/>
  <c r="Z142" i="11" s="1"/>
  <c r="W134" i="11"/>
  <c r="Z134" i="11" s="1"/>
  <c r="W147" i="11"/>
  <c r="Z147" i="11" s="1"/>
  <c r="W139" i="11"/>
  <c r="Z139" i="11" s="1"/>
  <c r="W131" i="11"/>
  <c r="Z131" i="11" s="1"/>
  <c r="W146" i="11"/>
  <c r="Z146" i="11" s="1"/>
  <c r="W138" i="11"/>
  <c r="Z138" i="11" s="1"/>
  <c r="W130" i="11"/>
  <c r="Z130" i="11" s="1"/>
  <c r="W132" i="11"/>
  <c r="Z132" i="11" s="1"/>
  <c r="W149" i="11"/>
  <c r="Z149" i="11" s="1"/>
  <c r="W141" i="11"/>
  <c r="Z141" i="11" s="1"/>
  <c r="W144" i="11"/>
  <c r="Z144" i="11" s="1"/>
  <c r="W136" i="11"/>
  <c r="Z136" i="11" s="1"/>
  <c r="W133" i="11"/>
  <c r="Z133" i="11" s="1"/>
  <c r="W135" i="11"/>
  <c r="Z135" i="11" s="1"/>
  <c r="W148" i="11"/>
  <c r="Z148" i="11" s="1"/>
  <c r="W143" i="11"/>
  <c r="Z143" i="11" s="1"/>
  <c r="W140" i="11"/>
  <c r="Z140" i="11" s="1"/>
  <c r="S55" i="11"/>
  <c r="U55" i="11"/>
  <c r="O55" i="11"/>
  <c r="M55" i="11"/>
  <c r="W126" i="11"/>
  <c r="Z126" i="11" s="1"/>
  <c r="W120" i="11"/>
  <c r="Z120" i="11" s="1"/>
  <c r="W119" i="11"/>
  <c r="Z119" i="11" s="1"/>
  <c r="W123" i="11"/>
  <c r="Z123" i="11" s="1"/>
  <c r="W116" i="11"/>
  <c r="Z116" i="11" s="1"/>
  <c r="W118" i="11"/>
  <c r="Z118" i="11" s="1"/>
  <c r="W111" i="11"/>
  <c r="Z111" i="11" s="1"/>
  <c r="W125" i="11"/>
  <c r="Z125" i="11" s="1"/>
  <c r="W117" i="11"/>
  <c r="Z117" i="11" s="1"/>
  <c r="W112" i="11"/>
  <c r="Z112" i="11" s="1"/>
  <c r="W121" i="11"/>
  <c r="Z121" i="11" s="1"/>
  <c r="W122" i="11"/>
  <c r="Z122" i="11" s="1"/>
  <c r="W115" i="11"/>
  <c r="Z115" i="11" s="1"/>
  <c r="W124" i="11"/>
  <c r="Z124" i="11" s="1"/>
  <c r="W114" i="11"/>
  <c r="Z114" i="11" s="1"/>
  <c r="W113" i="11"/>
  <c r="Z113" i="11" s="1"/>
  <c r="W110" i="11"/>
  <c r="Z110" i="11" s="1"/>
  <c r="T55" i="11"/>
  <c r="L55" i="11"/>
  <c r="R55" i="11"/>
  <c r="P55" i="11"/>
  <c r="G59" i="11"/>
  <c r="W60" i="11"/>
  <c r="Z60" i="11" s="1"/>
  <c r="G106" i="11"/>
  <c r="F106" i="11"/>
  <c r="H106" i="11"/>
  <c r="W47" i="11"/>
  <c r="Z47" i="11" s="1"/>
  <c r="H48" i="11"/>
  <c r="F48" i="11"/>
  <c r="W48" i="11"/>
  <c r="Z48" i="11" s="1"/>
  <c r="W49" i="11"/>
  <c r="Z49" i="11" s="1"/>
  <c r="H52" i="11"/>
  <c r="G52" i="11"/>
  <c r="W54" i="11"/>
  <c r="Z54" i="11" s="1"/>
  <c r="E87" i="11"/>
  <c r="E51" i="11"/>
  <c r="F84" i="11"/>
  <c r="F99" i="11"/>
  <c r="G99" i="11"/>
  <c r="H99" i="11"/>
  <c r="F70" i="11"/>
  <c r="G70" i="11"/>
  <c r="E45" i="11"/>
  <c r="F56" i="11"/>
  <c r="E68" i="11"/>
  <c r="H70" i="11"/>
  <c r="G90" i="11"/>
  <c r="H90" i="11"/>
  <c r="G93" i="11"/>
  <c r="F93" i="11"/>
  <c r="H93" i="11"/>
  <c r="G98" i="11"/>
  <c r="F98" i="11"/>
  <c r="E57" i="11"/>
  <c r="H72" i="11"/>
  <c r="F72" i="11"/>
  <c r="G72" i="11"/>
  <c r="E79" i="11"/>
  <c r="F85" i="11"/>
  <c r="H85" i="11"/>
  <c r="H98" i="11"/>
  <c r="M73" i="11"/>
  <c r="U73" i="11"/>
  <c r="H75" i="11"/>
  <c r="G75" i="11"/>
  <c r="F75" i="11"/>
  <c r="P76" i="11"/>
  <c r="G80" i="11"/>
  <c r="F80" i="11"/>
  <c r="H80" i="11"/>
  <c r="F73" i="11"/>
  <c r="U76" i="11"/>
  <c r="M76" i="11"/>
  <c r="S76" i="11"/>
  <c r="O76" i="11"/>
  <c r="F82" i="11"/>
  <c r="H97" i="11"/>
  <c r="E71" i="11"/>
  <c r="G95" i="11"/>
  <c r="F95" i="11"/>
  <c r="H78" i="11"/>
  <c r="G78" i="11"/>
  <c r="F78" i="11"/>
  <c r="H95" i="11"/>
  <c r="H116" i="11"/>
  <c r="G92" i="11"/>
  <c r="H118" i="11"/>
  <c r="G118" i="11"/>
  <c r="F118" i="11"/>
  <c r="H86" i="11"/>
  <c r="G86" i="11"/>
  <c r="F86" i="11"/>
  <c r="G110" i="11"/>
  <c r="F110" i="11"/>
  <c r="H110" i="11"/>
  <c r="H107" i="11"/>
  <c r="F107" i="11"/>
  <c r="E100" i="11"/>
  <c r="E105" i="11"/>
  <c r="G107" i="11"/>
  <c r="E103" i="11"/>
  <c r="F113" i="11"/>
  <c r="E111" i="11"/>
  <c r="E117" i="11"/>
  <c r="P50" i="9" l="1"/>
  <c r="N50" i="9"/>
  <c r="T50" i="9"/>
  <c r="L50" i="9"/>
  <c r="R50" i="9"/>
  <c r="G50" i="11"/>
  <c r="Q75" i="9"/>
  <c r="I75" i="9" s="1"/>
  <c r="F77" i="11"/>
  <c r="N77" i="11" s="1"/>
  <c r="F116" i="11"/>
  <c r="H82" i="11"/>
  <c r="BB44" i="11"/>
  <c r="AB50" i="11"/>
  <c r="F56" i="9"/>
  <c r="P79" i="9"/>
  <c r="S75" i="9"/>
  <c r="AN22" i="11"/>
  <c r="H75" i="9"/>
  <c r="H76" i="9"/>
  <c r="W89" i="11"/>
  <c r="Z89" i="11" s="1"/>
  <c r="W102" i="11"/>
  <c r="Z102" i="11" s="1"/>
  <c r="W104" i="11"/>
  <c r="Z104" i="11" s="1"/>
  <c r="AA71" i="9"/>
  <c r="AH71" i="9" s="1"/>
  <c r="L65" i="9"/>
  <c r="Z73" i="9"/>
  <c r="AG73" i="9" s="1"/>
  <c r="Z58" i="9"/>
  <c r="H45" i="9"/>
  <c r="F65" i="11"/>
  <c r="G48" i="9"/>
  <c r="F64" i="9"/>
  <c r="G59" i="9"/>
  <c r="H113" i="11"/>
  <c r="G77" i="11"/>
  <c r="M77" i="11" s="1"/>
  <c r="G104" i="11"/>
  <c r="W19" i="11"/>
  <c r="Z19" i="11" s="1"/>
  <c r="BD44" i="11"/>
  <c r="F106" i="9"/>
  <c r="G56" i="9"/>
  <c r="AH75" i="9"/>
  <c r="R79" i="9"/>
  <c r="G73" i="9"/>
  <c r="N73" i="9" s="1"/>
  <c r="AE22" i="11"/>
  <c r="AF22" i="11" s="1"/>
  <c r="F118" i="9"/>
  <c r="F73" i="9"/>
  <c r="S56" i="11"/>
  <c r="W99" i="11"/>
  <c r="Z99" i="11" s="1"/>
  <c r="W90" i="11"/>
  <c r="Z90" i="11" s="1"/>
  <c r="AA90" i="11" s="1"/>
  <c r="T65" i="9"/>
  <c r="G72" i="9"/>
  <c r="R72" i="9" s="1"/>
  <c r="F68" i="9"/>
  <c r="F31" i="9"/>
  <c r="AU47" i="9"/>
  <c r="G31" i="9"/>
  <c r="H48" i="9"/>
  <c r="AJ75" i="9"/>
  <c r="T79" i="9"/>
  <c r="AH22" i="11"/>
  <c r="W96" i="11"/>
  <c r="Z96" i="11" s="1"/>
  <c r="W94" i="11"/>
  <c r="Z94" i="11" s="1"/>
  <c r="F67" i="9"/>
  <c r="F72" i="9"/>
  <c r="O65" i="9"/>
  <c r="G23" i="9"/>
  <c r="N23" i="9" s="1"/>
  <c r="H55" i="9"/>
  <c r="H100" i="9"/>
  <c r="BB49" i="9"/>
  <c r="G34" i="9"/>
  <c r="H33" i="9"/>
  <c r="H92" i="11"/>
  <c r="G84" i="11"/>
  <c r="AJ22" i="11"/>
  <c r="F50" i="11"/>
  <c r="L50" i="11" s="1"/>
  <c r="G24" i="11"/>
  <c r="M24" i="11" s="1"/>
  <c r="K75" i="9"/>
  <c r="AL22" i="11"/>
  <c r="G75" i="9"/>
  <c r="W95" i="11"/>
  <c r="Z95" i="11" s="1"/>
  <c r="W103" i="11"/>
  <c r="Z103" i="11" s="1"/>
  <c r="F104" i="11"/>
  <c r="G91" i="11"/>
  <c r="BF44" i="11"/>
  <c r="AZ44" i="11" s="1"/>
  <c r="G106" i="9"/>
  <c r="F108" i="11"/>
  <c r="G97" i="11"/>
  <c r="F91" i="11"/>
  <c r="F50" i="9"/>
  <c r="K50" i="9" s="1"/>
  <c r="L79" i="9"/>
  <c r="K59" i="9"/>
  <c r="I59" i="9" s="1"/>
  <c r="W101" i="11"/>
  <c r="Z101" i="11" s="1"/>
  <c r="AA101" i="11" s="1"/>
  <c r="W98" i="11"/>
  <c r="Z98" i="11" s="1"/>
  <c r="G67" i="9"/>
  <c r="Z64" i="9"/>
  <c r="G44" i="9"/>
  <c r="R44" i="9" s="1"/>
  <c r="F78" i="9"/>
  <c r="F34" i="9"/>
  <c r="K34" i="9" s="1"/>
  <c r="G33" i="9"/>
  <c r="AA65" i="9"/>
  <c r="AF65" i="9" s="1"/>
  <c r="M75" i="9"/>
  <c r="H108" i="11"/>
  <c r="W30" i="11"/>
  <c r="Z30" i="11" s="1"/>
  <c r="W32" i="11"/>
  <c r="Z32" i="11" s="1"/>
  <c r="Q59" i="9"/>
  <c r="AG22" i="11"/>
  <c r="W92" i="11"/>
  <c r="Z92" i="11" s="1"/>
  <c r="G86" i="9"/>
  <c r="O23" i="9"/>
  <c r="F44" i="9"/>
  <c r="AZ49" i="9"/>
  <c r="AV44" i="11"/>
  <c r="H79" i="9"/>
  <c r="W28" i="1"/>
  <c r="V28" i="1"/>
  <c r="V94" i="9"/>
  <c r="Y94" i="9" s="1"/>
  <c r="Z94" i="9" s="1"/>
  <c r="V100" i="9"/>
  <c r="Y100" i="9" s="1"/>
  <c r="F74" i="9"/>
  <c r="G68" i="9"/>
  <c r="V96" i="9"/>
  <c r="Y96" i="9" s="1"/>
  <c r="AT50" i="9"/>
  <c r="BE50" i="9" s="1"/>
  <c r="H112" i="11"/>
  <c r="G112" i="11"/>
  <c r="I70" i="9"/>
  <c r="AA54" i="9"/>
  <c r="V104" i="9"/>
  <c r="Y104" i="9" s="1"/>
  <c r="G49" i="9"/>
  <c r="F83" i="11"/>
  <c r="H83" i="11"/>
  <c r="V89" i="9"/>
  <c r="Y89" i="9" s="1"/>
  <c r="G57" i="9"/>
  <c r="T57" i="9" s="1"/>
  <c r="AX49" i="9"/>
  <c r="F49" i="9"/>
  <c r="O59" i="9"/>
  <c r="V99" i="9"/>
  <c r="Y99" i="9" s="1"/>
  <c r="V98" i="9"/>
  <c r="Y98" i="9" s="1"/>
  <c r="F57" i="9"/>
  <c r="K57" i="9" s="1"/>
  <c r="H59" i="11"/>
  <c r="V102" i="9"/>
  <c r="Y102" i="9" s="1"/>
  <c r="AA102" i="9" s="1"/>
  <c r="V103" i="9"/>
  <c r="Y103" i="9" s="1"/>
  <c r="Z57" i="9"/>
  <c r="G74" i="9"/>
  <c r="V93" i="9"/>
  <c r="Y93" i="9" s="1"/>
  <c r="H59" i="9"/>
  <c r="H114" i="11"/>
  <c r="G114" i="11"/>
  <c r="F114" i="11"/>
  <c r="H66" i="11"/>
  <c r="G66" i="11"/>
  <c r="F66" i="11"/>
  <c r="AW53" i="9"/>
  <c r="S73" i="11"/>
  <c r="Q73" i="11"/>
  <c r="K73" i="11" s="1"/>
  <c r="J79" i="9"/>
  <c r="H88" i="11"/>
  <c r="G88" i="11"/>
  <c r="F88" i="11"/>
  <c r="F58" i="11"/>
  <c r="G58" i="11"/>
  <c r="H58" i="11"/>
  <c r="V90" i="9"/>
  <c r="Y90" i="9" s="1"/>
  <c r="V97" i="9"/>
  <c r="Y97" i="9" s="1"/>
  <c r="V92" i="9"/>
  <c r="Y92" i="9" s="1"/>
  <c r="V101" i="9"/>
  <c r="Y101" i="9" s="1"/>
  <c r="V105" i="9"/>
  <c r="Y105" i="9" s="1"/>
  <c r="H109" i="9"/>
  <c r="G109" i="9"/>
  <c r="F109" i="9"/>
  <c r="H69" i="11"/>
  <c r="G69" i="11"/>
  <c r="F69" i="11"/>
  <c r="K55" i="11"/>
  <c r="AT44" i="9"/>
  <c r="AU44" i="9"/>
  <c r="AN75" i="9"/>
  <c r="AF75" i="9"/>
  <c r="R76" i="11"/>
  <c r="T76" i="11"/>
  <c r="L76" i="11"/>
  <c r="H109" i="11"/>
  <c r="G109" i="11"/>
  <c r="F109" i="11"/>
  <c r="F81" i="11"/>
  <c r="H81" i="11"/>
  <c r="G81" i="11"/>
  <c r="G102" i="11"/>
  <c r="H102" i="11"/>
  <c r="F102" i="11"/>
  <c r="F87" i="11"/>
  <c r="G87" i="11"/>
  <c r="H87" i="11"/>
  <c r="N50" i="11"/>
  <c r="AB120" i="11"/>
  <c r="AA120" i="11"/>
  <c r="AB51" i="11"/>
  <c r="AA51" i="11"/>
  <c r="H34" i="11"/>
  <c r="I34" i="11" s="1"/>
  <c r="F34" i="11"/>
  <c r="G34" i="11"/>
  <c r="AW54" i="11"/>
  <c r="AV54" i="11"/>
  <c r="AW73" i="11"/>
  <c r="AV73" i="11"/>
  <c r="S50" i="9"/>
  <c r="M50" i="9"/>
  <c r="N66" i="9"/>
  <c r="T66" i="9"/>
  <c r="L66" i="9"/>
  <c r="R66" i="9"/>
  <c r="P66" i="9"/>
  <c r="F25" i="9"/>
  <c r="H25" i="9"/>
  <c r="G25" i="9"/>
  <c r="AT67" i="9"/>
  <c r="AU67" i="9"/>
  <c r="AA112" i="9"/>
  <c r="Z112" i="9"/>
  <c r="H27" i="9"/>
  <c r="G27" i="9"/>
  <c r="F27" i="9"/>
  <c r="N44" i="9"/>
  <c r="T44" i="9"/>
  <c r="L44" i="9"/>
  <c r="AE45" i="9"/>
  <c r="AB45" i="9"/>
  <c r="AM45" i="9"/>
  <c r="AK45" i="9"/>
  <c r="AI45" i="9"/>
  <c r="AG45" i="9"/>
  <c r="Q72" i="11"/>
  <c r="O72" i="11"/>
  <c r="S72" i="11"/>
  <c r="M72" i="11"/>
  <c r="U72" i="11"/>
  <c r="AA60" i="11"/>
  <c r="AB60" i="11"/>
  <c r="AA148" i="11"/>
  <c r="AB148" i="11"/>
  <c r="U47" i="11"/>
  <c r="S47" i="11"/>
  <c r="O47" i="11"/>
  <c r="Q47" i="11"/>
  <c r="M47" i="11"/>
  <c r="AV51" i="11"/>
  <c r="AW51" i="11"/>
  <c r="Z74" i="9"/>
  <c r="AA74" i="9"/>
  <c r="M64" i="11"/>
  <c r="U64" i="11"/>
  <c r="Q64" i="11"/>
  <c r="S64" i="11"/>
  <c r="O64" i="11"/>
  <c r="AL54" i="9"/>
  <c r="AJ54" i="9"/>
  <c r="AH54" i="9"/>
  <c r="AN54" i="9"/>
  <c r="AF54" i="9"/>
  <c r="J50" i="9"/>
  <c r="AI49" i="9"/>
  <c r="AM49" i="9"/>
  <c r="AB49" i="9"/>
  <c r="AK49" i="9"/>
  <c r="AG49" i="9"/>
  <c r="AE49" i="9"/>
  <c r="AV47" i="9"/>
  <c r="BG47" i="9"/>
  <c r="BE47" i="9"/>
  <c r="BC47" i="9"/>
  <c r="BA47" i="9"/>
  <c r="AY47" i="9"/>
  <c r="Z139" i="9"/>
  <c r="AA139" i="9"/>
  <c r="L78" i="9"/>
  <c r="T78" i="9"/>
  <c r="P78" i="9"/>
  <c r="R78" i="9"/>
  <c r="N78" i="9"/>
  <c r="Q46" i="9"/>
  <c r="O46" i="9"/>
  <c r="M46" i="9"/>
  <c r="S46" i="9"/>
  <c r="K46" i="9"/>
  <c r="AV50" i="9"/>
  <c r="BC50" i="9"/>
  <c r="AA57" i="11"/>
  <c r="AB57" i="11"/>
  <c r="G25" i="11"/>
  <c r="H25" i="11"/>
  <c r="I25" i="11" s="1"/>
  <c r="F25" i="11"/>
  <c r="AV80" i="11"/>
  <c r="AW80" i="11"/>
  <c r="AW74" i="11"/>
  <c r="AV74" i="11"/>
  <c r="G97" i="9"/>
  <c r="F97" i="9"/>
  <c r="H97" i="9"/>
  <c r="AG33" i="11"/>
  <c r="AO33" i="11"/>
  <c r="AM33" i="11"/>
  <c r="AI33" i="11"/>
  <c r="AC33" i="11"/>
  <c r="AD33" i="11" s="1"/>
  <c r="AK33" i="11"/>
  <c r="AK75" i="9"/>
  <c r="AM75" i="9"/>
  <c r="AB75" i="9"/>
  <c r="AE75" i="9"/>
  <c r="AI75" i="9"/>
  <c r="AG75" i="9"/>
  <c r="AT57" i="9"/>
  <c r="AU57" i="9"/>
  <c r="A45" i="10"/>
  <c r="O60" i="9"/>
  <c r="S60" i="9"/>
  <c r="Q60" i="9"/>
  <c r="M60" i="9"/>
  <c r="K60" i="9"/>
  <c r="AU52" i="9"/>
  <c r="AT52" i="9"/>
  <c r="T64" i="11"/>
  <c r="L64" i="11"/>
  <c r="R64" i="11"/>
  <c r="P64" i="11"/>
  <c r="N64" i="11"/>
  <c r="G26" i="9"/>
  <c r="F26" i="9"/>
  <c r="H26" i="9"/>
  <c r="AA97" i="11"/>
  <c r="AB97" i="11"/>
  <c r="AB100" i="11"/>
  <c r="AA100" i="11"/>
  <c r="P67" i="9"/>
  <c r="N67" i="9"/>
  <c r="T67" i="9"/>
  <c r="L67" i="9"/>
  <c r="R67" i="9"/>
  <c r="AK54" i="9"/>
  <c r="AB54" i="9"/>
  <c r="AM54" i="9"/>
  <c r="AI54" i="9"/>
  <c r="AE54" i="9"/>
  <c r="AG54" i="9"/>
  <c r="AA100" i="9"/>
  <c r="Z100" i="9"/>
  <c r="AU75" i="9"/>
  <c r="AT75" i="9"/>
  <c r="AU80" i="9"/>
  <c r="AT80" i="9"/>
  <c r="AH49" i="9"/>
  <c r="AN49" i="9"/>
  <c r="AF49" i="9"/>
  <c r="AL49" i="9"/>
  <c r="AJ49" i="9"/>
  <c r="AA113" i="9"/>
  <c r="Z113" i="9"/>
  <c r="AA120" i="9"/>
  <c r="Z120" i="9"/>
  <c r="M55" i="9"/>
  <c r="O55" i="9"/>
  <c r="K55" i="9"/>
  <c r="S55" i="9"/>
  <c r="Q55" i="9"/>
  <c r="R65" i="11"/>
  <c r="P65" i="11"/>
  <c r="N65" i="11"/>
  <c r="T65" i="11"/>
  <c r="L65" i="11"/>
  <c r="K48" i="11"/>
  <c r="Z138" i="9"/>
  <c r="AA138" i="9"/>
  <c r="Z130" i="9"/>
  <c r="AA130" i="9"/>
  <c r="Z141" i="9"/>
  <c r="AA141" i="9"/>
  <c r="T58" i="9"/>
  <c r="L58" i="9"/>
  <c r="R58" i="9"/>
  <c r="P58" i="9"/>
  <c r="N58" i="9"/>
  <c r="AW48" i="9"/>
  <c r="AB53" i="9"/>
  <c r="AI53" i="9"/>
  <c r="AM53" i="9"/>
  <c r="AG53" i="9"/>
  <c r="AK53" i="9"/>
  <c r="AE53" i="9"/>
  <c r="BD50" i="9"/>
  <c r="BB50" i="9"/>
  <c r="BH50" i="9"/>
  <c r="AZ50" i="9"/>
  <c r="BF50" i="9"/>
  <c r="AK65" i="9"/>
  <c r="AB65" i="9"/>
  <c r="AI65" i="9"/>
  <c r="AG65" i="9"/>
  <c r="AE65" i="9"/>
  <c r="AM65" i="9"/>
  <c r="F111" i="11"/>
  <c r="G111" i="11"/>
  <c r="H111" i="11"/>
  <c r="H105" i="11"/>
  <c r="G105" i="11"/>
  <c r="F105" i="11"/>
  <c r="G71" i="11"/>
  <c r="H71" i="11"/>
  <c r="F71" i="11"/>
  <c r="AB54" i="11"/>
  <c r="AA54" i="11"/>
  <c r="R48" i="11"/>
  <c r="P48" i="11"/>
  <c r="T48" i="11"/>
  <c r="L48" i="11"/>
  <c r="N48" i="11"/>
  <c r="R59" i="11"/>
  <c r="P59" i="11"/>
  <c r="T59" i="11"/>
  <c r="N59" i="11"/>
  <c r="L59" i="11"/>
  <c r="AB114" i="11"/>
  <c r="AA114" i="11"/>
  <c r="AB111" i="11"/>
  <c r="AA111" i="11"/>
  <c r="AB133" i="11"/>
  <c r="AA133" i="11"/>
  <c r="AB146" i="11"/>
  <c r="AA146" i="11"/>
  <c r="AA145" i="11"/>
  <c r="AB145" i="11"/>
  <c r="AE44" i="11"/>
  <c r="AF44" i="11" s="1"/>
  <c r="AN44" i="11"/>
  <c r="AL44" i="11"/>
  <c r="AH44" i="11"/>
  <c r="AP44" i="11"/>
  <c r="AJ44" i="11"/>
  <c r="AB73" i="11"/>
  <c r="AA73" i="11"/>
  <c r="AB71" i="11"/>
  <c r="AA71" i="11"/>
  <c r="BH45" i="11"/>
  <c r="BF45" i="11"/>
  <c r="BJ45" i="11"/>
  <c r="BD45" i="11"/>
  <c r="BB45" i="11"/>
  <c r="G31" i="11"/>
  <c r="H31" i="11"/>
  <c r="I31" i="11" s="1"/>
  <c r="F31" i="11"/>
  <c r="AB31" i="11"/>
  <c r="AA31" i="11"/>
  <c r="AB35" i="11"/>
  <c r="AA35" i="11"/>
  <c r="AE52" i="11"/>
  <c r="AF52" i="11" s="1"/>
  <c r="AN52" i="11"/>
  <c r="AL52" i="11"/>
  <c r="AH52" i="11"/>
  <c r="AP52" i="11"/>
  <c r="AJ52" i="11"/>
  <c r="AV49" i="11"/>
  <c r="AW49" i="11"/>
  <c r="AV58" i="11"/>
  <c r="AW58" i="11"/>
  <c r="K60" i="11"/>
  <c r="AJ24" i="11"/>
  <c r="AE24" i="11"/>
  <c r="AF24" i="11" s="1"/>
  <c r="AP24" i="11"/>
  <c r="AL24" i="11"/>
  <c r="AN24" i="11"/>
  <c r="AH24" i="11"/>
  <c r="R44" i="11"/>
  <c r="P44" i="11"/>
  <c r="N44" i="11"/>
  <c r="L44" i="11"/>
  <c r="T44" i="11"/>
  <c r="AV85" i="11"/>
  <c r="AW85" i="11"/>
  <c r="AW68" i="11"/>
  <c r="AV68" i="11"/>
  <c r="AW79" i="11"/>
  <c r="AV79" i="11"/>
  <c r="F90" i="9"/>
  <c r="G90" i="9"/>
  <c r="H90" i="9"/>
  <c r="T49" i="11"/>
  <c r="L49" i="11"/>
  <c r="R49" i="11"/>
  <c r="N49" i="11"/>
  <c r="P49" i="11"/>
  <c r="G20" i="9"/>
  <c r="H20" i="9"/>
  <c r="F20" i="9"/>
  <c r="AA79" i="9"/>
  <c r="Z79" i="9"/>
  <c r="AL33" i="11"/>
  <c r="AJ33" i="11"/>
  <c r="AP33" i="11"/>
  <c r="AE33" i="11"/>
  <c r="AF33" i="11" s="1"/>
  <c r="AH33" i="11"/>
  <c r="AN33" i="11"/>
  <c r="AU54" i="9"/>
  <c r="AT54" i="9"/>
  <c r="P60" i="9"/>
  <c r="N60" i="9"/>
  <c r="T60" i="9"/>
  <c r="L60" i="9"/>
  <c r="R60" i="9"/>
  <c r="AU56" i="9"/>
  <c r="AT56" i="9"/>
  <c r="G22" i="9"/>
  <c r="F22" i="9"/>
  <c r="H22" i="9"/>
  <c r="AB93" i="11"/>
  <c r="AA93" i="11"/>
  <c r="AB105" i="11"/>
  <c r="AA105" i="11"/>
  <c r="O77" i="9"/>
  <c r="K77" i="9"/>
  <c r="S77" i="9"/>
  <c r="Q77" i="9"/>
  <c r="M77" i="9"/>
  <c r="AA95" i="9"/>
  <c r="Z95" i="9"/>
  <c r="AB64" i="9"/>
  <c r="AI64" i="9"/>
  <c r="AE64" i="9"/>
  <c r="AM64" i="9"/>
  <c r="AK64" i="9"/>
  <c r="AG64" i="9"/>
  <c r="AU73" i="9"/>
  <c r="AT73" i="9"/>
  <c r="AU78" i="9"/>
  <c r="AT78" i="9"/>
  <c r="AC47" i="9"/>
  <c r="AL47" i="9"/>
  <c r="AJ47" i="9"/>
  <c r="AH47" i="9"/>
  <c r="AF47" i="9"/>
  <c r="AN47" i="9"/>
  <c r="AA117" i="9"/>
  <c r="Z117" i="9"/>
  <c r="AA121" i="9"/>
  <c r="Z121" i="9"/>
  <c r="AU84" i="9"/>
  <c r="AT84" i="9"/>
  <c r="AU69" i="9"/>
  <c r="AT69" i="9"/>
  <c r="U65" i="11"/>
  <c r="M65" i="11"/>
  <c r="S65" i="11"/>
  <c r="Q65" i="11"/>
  <c r="O65" i="11"/>
  <c r="P31" i="9"/>
  <c r="N31" i="9"/>
  <c r="T31" i="9"/>
  <c r="R31" i="9"/>
  <c r="L31" i="9"/>
  <c r="Z135" i="9"/>
  <c r="AA135" i="9"/>
  <c r="AA140" i="9"/>
  <c r="Z140" i="9"/>
  <c r="Z143" i="9"/>
  <c r="AA143" i="9"/>
  <c r="I23" i="9"/>
  <c r="AJ53" i="9"/>
  <c r="AH53" i="9"/>
  <c r="AN53" i="9"/>
  <c r="AF53" i="9"/>
  <c r="AL53" i="9"/>
  <c r="P34" i="9"/>
  <c r="T34" i="9"/>
  <c r="R34" i="9"/>
  <c r="L34" i="9"/>
  <c r="N34" i="9"/>
  <c r="BB46" i="9"/>
  <c r="BH46" i="9"/>
  <c r="AZ46" i="9"/>
  <c r="BF46" i="9"/>
  <c r="BD46" i="9"/>
  <c r="T80" i="11"/>
  <c r="L80" i="11"/>
  <c r="P80" i="11"/>
  <c r="N80" i="11"/>
  <c r="R80" i="11"/>
  <c r="G68" i="11"/>
  <c r="H68" i="11"/>
  <c r="F68" i="11"/>
  <c r="AB112" i="11"/>
  <c r="AA112" i="11"/>
  <c r="AB142" i="11"/>
  <c r="AA142" i="11"/>
  <c r="AA30" i="11"/>
  <c r="AB30" i="11"/>
  <c r="G94" i="9"/>
  <c r="H94" i="9"/>
  <c r="F94" i="9"/>
  <c r="AE50" i="11"/>
  <c r="AF50" i="11" s="1"/>
  <c r="AN50" i="11"/>
  <c r="AL50" i="11"/>
  <c r="AJ50" i="11"/>
  <c r="AH50" i="11"/>
  <c r="AP50" i="11"/>
  <c r="H107" i="9"/>
  <c r="G107" i="9"/>
  <c r="F107" i="9"/>
  <c r="AA70" i="9"/>
  <c r="Z70" i="9"/>
  <c r="AA44" i="9"/>
  <c r="Z44" i="9"/>
  <c r="G116" i="9"/>
  <c r="F116" i="9"/>
  <c r="H116" i="9"/>
  <c r="AT70" i="9"/>
  <c r="AU70" i="9"/>
  <c r="AG52" i="9"/>
  <c r="AI52" i="9"/>
  <c r="AE52" i="9"/>
  <c r="AB52" i="9"/>
  <c r="AM52" i="9"/>
  <c r="AK52" i="9"/>
  <c r="T32" i="9"/>
  <c r="R32" i="9"/>
  <c r="P32" i="9"/>
  <c r="N32" i="9"/>
  <c r="L32" i="9"/>
  <c r="AB117" i="11"/>
  <c r="AA117" i="11"/>
  <c r="AB150" i="11"/>
  <c r="AA150" i="11"/>
  <c r="AA70" i="11"/>
  <c r="AB70" i="11"/>
  <c r="AA29" i="11"/>
  <c r="AB29" i="11"/>
  <c r="AV77" i="11"/>
  <c r="AW77" i="11"/>
  <c r="G101" i="9"/>
  <c r="F101" i="9"/>
  <c r="H101" i="9"/>
  <c r="S69" i="9"/>
  <c r="K69" i="9"/>
  <c r="O69" i="9"/>
  <c r="Q69" i="9"/>
  <c r="M69" i="9"/>
  <c r="H21" i="9"/>
  <c r="F21" i="9"/>
  <c r="G21" i="9"/>
  <c r="G30" i="9"/>
  <c r="F30" i="9"/>
  <c r="H30" i="9"/>
  <c r="AB46" i="9"/>
  <c r="AK46" i="9"/>
  <c r="AM46" i="9"/>
  <c r="AI46" i="9"/>
  <c r="AE46" i="9"/>
  <c r="AG46" i="9"/>
  <c r="AT64" i="9"/>
  <c r="AU64" i="9"/>
  <c r="Z119" i="9"/>
  <c r="AA119" i="9"/>
  <c r="K44" i="9"/>
  <c r="S44" i="9"/>
  <c r="Q44" i="9"/>
  <c r="O44" i="9"/>
  <c r="M44" i="9"/>
  <c r="S58" i="9"/>
  <c r="K58" i="9"/>
  <c r="M58" i="9"/>
  <c r="Q58" i="9"/>
  <c r="O58" i="9"/>
  <c r="AH65" i="9"/>
  <c r="AA113" i="11"/>
  <c r="AB113" i="11"/>
  <c r="AB135" i="11"/>
  <c r="AA135" i="11"/>
  <c r="N60" i="11"/>
  <c r="R60" i="11"/>
  <c r="P60" i="11"/>
  <c r="L60" i="11"/>
  <c r="T60" i="11"/>
  <c r="AA74" i="11"/>
  <c r="AB74" i="11"/>
  <c r="AX45" i="11"/>
  <c r="BI45" i="11"/>
  <c r="BG45" i="11"/>
  <c r="BE45" i="11"/>
  <c r="BC45" i="11"/>
  <c r="BA45" i="11"/>
  <c r="AV55" i="11"/>
  <c r="AW55" i="11"/>
  <c r="AK24" i="11"/>
  <c r="AC24" i="11"/>
  <c r="AD24" i="11" s="1"/>
  <c r="AI24" i="11"/>
  <c r="AO24" i="11"/>
  <c r="AG24" i="11"/>
  <c r="AM24" i="11"/>
  <c r="G24" i="9"/>
  <c r="F24" i="9"/>
  <c r="H24" i="9"/>
  <c r="AB124" i="11"/>
  <c r="AA124" i="11"/>
  <c r="AA136" i="11"/>
  <c r="AB136" i="11"/>
  <c r="S74" i="11"/>
  <c r="Q74" i="11"/>
  <c r="M74" i="11"/>
  <c r="U74" i="11"/>
  <c r="O74" i="11"/>
  <c r="AB80" i="11"/>
  <c r="AA80" i="11"/>
  <c r="AB20" i="11"/>
  <c r="AA20" i="11"/>
  <c r="AV47" i="11"/>
  <c r="AW47" i="11"/>
  <c r="G111" i="9"/>
  <c r="F111" i="9"/>
  <c r="H111" i="9"/>
  <c r="AW70" i="11"/>
  <c r="AV70" i="11"/>
  <c r="Z76" i="9"/>
  <c r="AA76" i="9"/>
  <c r="AP30" i="9"/>
  <c r="AS30" i="9" s="1"/>
  <c r="AP26" i="9"/>
  <c r="AS26" i="9" s="1"/>
  <c r="AP22" i="9"/>
  <c r="AS22" i="9" s="1"/>
  <c r="AP37" i="9"/>
  <c r="AS37" i="9" s="1"/>
  <c r="AP31" i="9"/>
  <c r="AS31" i="9" s="1"/>
  <c r="AP27" i="9"/>
  <c r="AS27" i="9" s="1"/>
  <c r="AP23" i="9"/>
  <c r="AS23" i="9" s="1"/>
  <c r="AP19" i="9"/>
  <c r="AS19" i="9" s="1"/>
  <c r="AP28" i="9"/>
  <c r="AS28" i="9" s="1"/>
  <c r="AP24" i="9"/>
  <c r="AS24" i="9" s="1"/>
  <c r="AP20" i="9"/>
  <c r="AS20" i="9" s="1"/>
  <c r="AP29" i="9"/>
  <c r="AS29" i="9" s="1"/>
  <c r="AP21" i="9"/>
  <c r="AS21" i="9" s="1"/>
  <c r="AP38" i="9"/>
  <c r="AS38" i="9" s="1"/>
  <c r="AP39" i="9"/>
  <c r="AS39" i="9" s="1"/>
  <c r="AP36" i="9"/>
  <c r="AS36" i="9" s="1"/>
  <c r="AP34" i="9"/>
  <c r="AS34" i="9" s="1"/>
  <c r="AP33" i="9"/>
  <c r="AS33" i="9" s="1"/>
  <c r="AP35" i="9"/>
  <c r="AS35" i="9" s="1"/>
  <c r="AP32" i="9"/>
  <c r="AS32" i="9" s="1"/>
  <c r="AP25" i="9"/>
  <c r="AS25" i="9" s="1"/>
  <c r="AA96" i="9"/>
  <c r="Z96" i="9"/>
  <c r="AU79" i="9"/>
  <c r="AT79" i="9"/>
  <c r="I65" i="9"/>
  <c r="AA122" i="9"/>
  <c r="Z122" i="9"/>
  <c r="AY46" i="9"/>
  <c r="AV46" i="9"/>
  <c r="BG46" i="9"/>
  <c r="BE46" i="9"/>
  <c r="BA46" i="9"/>
  <c r="BC46" i="9"/>
  <c r="U75" i="11"/>
  <c r="S75" i="11"/>
  <c r="Q75" i="11"/>
  <c r="O75" i="11"/>
  <c r="M75" i="11"/>
  <c r="G45" i="11"/>
  <c r="F45" i="11"/>
  <c r="H45" i="11"/>
  <c r="N52" i="11"/>
  <c r="L52" i="11"/>
  <c r="T52" i="11"/>
  <c r="P52" i="11"/>
  <c r="R52" i="11"/>
  <c r="AB47" i="11"/>
  <c r="AA47" i="11"/>
  <c r="AB115" i="11"/>
  <c r="AA115" i="11"/>
  <c r="AA116" i="11"/>
  <c r="AB116" i="11"/>
  <c r="AA144" i="11"/>
  <c r="AB144" i="11"/>
  <c r="AB139" i="11"/>
  <c r="AA139" i="11"/>
  <c r="L74" i="11"/>
  <c r="R74" i="11"/>
  <c r="T74" i="11"/>
  <c r="P74" i="11"/>
  <c r="N74" i="11"/>
  <c r="AA56" i="11"/>
  <c r="AB56" i="11"/>
  <c r="H26" i="11"/>
  <c r="I26" i="11" s="1"/>
  <c r="F26" i="11"/>
  <c r="G26" i="11"/>
  <c r="AB68" i="11"/>
  <c r="AA68" i="11"/>
  <c r="AB69" i="11"/>
  <c r="AA69" i="11"/>
  <c r="G21" i="11"/>
  <c r="F21" i="11"/>
  <c r="H21" i="11"/>
  <c r="I21" i="11" s="1"/>
  <c r="H35" i="11"/>
  <c r="I35" i="11" s="1"/>
  <c r="F35" i="11"/>
  <c r="G35" i="11"/>
  <c r="AB19" i="11"/>
  <c r="AA19" i="11"/>
  <c r="F28" i="11"/>
  <c r="H28" i="11"/>
  <c r="I28" i="11" s="1"/>
  <c r="G28" i="11"/>
  <c r="AW48" i="11"/>
  <c r="AV48" i="11"/>
  <c r="AW60" i="11"/>
  <c r="AV60" i="11"/>
  <c r="G99" i="9"/>
  <c r="F99" i="9"/>
  <c r="H99" i="9"/>
  <c r="AW65" i="11"/>
  <c r="AV65" i="11"/>
  <c r="AV82" i="11"/>
  <c r="AW82" i="11"/>
  <c r="AV83" i="11"/>
  <c r="AW83" i="11"/>
  <c r="G103" i="9"/>
  <c r="F103" i="9"/>
  <c r="H103" i="9"/>
  <c r="O56" i="9"/>
  <c r="S56" i="9"/>
  <c r="Q56" i="9"/>
  <c r="M56" i="9"/>
  <c r="K56" i="9"/>
  <c r="AA55" i="9"/>
  <c r="Z55" i="9"/>
  <c r="AA80" i="9"/>
  <c r="Z80" i="9"/>
  <c r="Z50" i="9"/>
  <c r="AA50" i="9"/>
  <c r="S54" i="9"/>
  <c r="K54" i="9"/>
  <c r="Q54" i="9"/>
  <c r="O54" i="9"/>
  <c r="M54" i="9"/>
  <c r="V29" i="9"/>
  <c r="Y29" i="9" s="1"/>
  <c r="V25" i="9"/>
  <c r="Y25" i="9" s="1"/>
  <c r="V21" i="9"/>
  <c r="Y21" i="9" s="1"/>
  <c r="V30" i="9"/>
  <c r="Y30" i="9" s="1"/>
  <c r="V26" i="9"/>
  <c r="Y26" i="9" s="1"/>
  <c r="V22" i="9"/>
  <c r="Y22" i="9" s="1"/>
  <c r="V31" i="9"/>
  <c r="Y31" i="9" s="1"/>
  <c r="V27" i="9"/>
  <c r="Y27" i="9" s="1"/>
  <c r="V23" i="9"/>
  <c r="Y23" i="9" s="1"/>
  <c r="V19" i="9"/>
  <c r="Y19" i="9" s="1"/>
  <c r="V35" i="9"/>
  <c r="Y35" i="9" s="1"/>
  <c r="V20" i="9"/>
  <c r="Y20" i="9" s="1"/>
  <c r="V28" i="9"/>
  <c r="Y28" i="9" s="1"/>
  <c r="V24" i="9"/>
  <c r="Y24" i="9" s="1"/>
  <c r="V34" i="9"/>
  <c r="Y34" i="9" s="1"/>
  <c r="V33" i="9"/>
  <c r="Y33" i="9" s="1"/>
  <c r="V32" i="9"/>
  <c r="Y32" i="9" s="1"/>
  <c r="AA77" i="9"/>
  <c r="Z77" i="9"/>
  <c r="AA89" i="11"/>
  <c r="AB89" i="11"/>
  <c r="AA102" i="11"/>
  <c r="AB102" i="11"/>
  <c r="AA104" i="11"/>
  <c r="AB104" i="11"/>
  <c r="P52" i="9"/>
  <c r="N52" i="9"/>
  <c r="T52" i="9"/>
  <c r="L52" i="9"/>
  <c r="R52" i="9"/>
  <c r="AA104" i="9"/>
  <c r="Z104" i="9"/>
  <c r="R46" i="9"/>
  <c r="P46" i="9"/>
  <c r="N46" i="9"/>
  <c r="L46" i="9"/>
  <c r="T46" i="9"/>
  <c r="AT82" i="9"/>
  <c r="AU82" i="9"/>
  <c r="AU85" i="9"/>
  <c r="AT85" i="9"/>
  <c r="AJ57" i="9"/>
  <c r="AH57" i="9"/>
  <c r="AN57" i="9"/>
  <c r="AF57" i="9"/>
  <c r="AL57" i="9"/>
  <c r="AJ59" i="11"/>
  <c r="AP59" i="11"/>
  <c r="AH59" i="11"/>
  <c r="AE59" i="11"/>
  <c r="AF59" i="11" s="1"/>
  <c r="AN59" i="11"/>
  <c r="AL59" i="11"/>
  <c r="AL73" i="9"/>
  <c r="AJ73" i="9"/>
  <c r="AH73" i="9"/>
  <c r="AN73" i="9"/>
  <c r="AF73" i="9"/>
  <c r="J69" i="9"/>
  <c r="P45" i="9"/>
  <c r="N45" i="9"/>
  <c r="T45" i="9"/>
  <c r="R45" i="9"/>
  <c r="L45" i="9"/>
  <c r="AA110" i="9"/>
  <c r="Z110" i="9"/>
  <c r="Z123" i="9"/>
  <c r="AA123" i="9"/>
  <c r="BA49" i="9"/>
  <c r="AV49" i="9"/>
  <c r="AY49" i="9"/>
  <c r="BG49" i="9"/>
  <c r="BC49" i="9"/>
  <c r="BE49" i="9"/>
  <c r="BF59" i="9"/>
  <c r="BD59" i="9"/>
  <c r="BB59" i="9"/>
  <c r="AZ59" i="9"/>
  <c r="BH59" i="9"/>
  <c r="AA150" i="9"/>
  <c r="Z150" i="9"/>
  <c r="AA144" i="9"/>
  <c r="Z144" i="9"/>
  <c r="Z147" i="9"/>
  <c r="AA147" i="9"/>
  <c r="Q57" i="9"/>
  <c r="BE55" i="9"/>
  <c r="AV55" i="9"/>
  <c r="AY55" i="9"/>
  <c r="BG55" i="9"/>
  <c r="BC55" i="9"/>
  <c r="BA55" i="9"/>
  <c r="AJ72" i="9"/>
  <c r="AH72" i="9"/>
  <c r="AN72" i="9"/>
  <c r="AF72" i="9"/>
  <c r="AL72" i="9"/>
  <c r="K33" i="9"/>
  <c r="S33" i="9"/>
  <c r="Q33" i="9"/>
  <c r="O33" i="9"/>
  <c r="M33" i="9"/>
  <c r="Q49" i="9"/>
  <c r="M49" i="9"/>
  <c r="K49" i="9"/>
  <c r="S49" i="9"/>
  <c r="O49" i="9"/>
  <c r="R35" i="9"/>
  <c r="T35" i="9"/>
  <c r="P35" i="9"/>
  <c r="L35" i="9"/>
  <c r="N35" i="9"/>
  <c r="H79" i="11"/>
  <c r="G79" i="11"/>
  <c r="F79" i="11"/>
  <c r="AA132" i="11"/>
  <c r="AB132" i="11"/>
  <c r="AA67" i="11"/>
  <c r="AB67" i="11"/>
  <c r="AA32" i="11"/>
  <c r="AB32" i="11"/>
  <c r="R53" i="11"/>
  <c r="P53" i="11"/>
  <c r="N53" i="11"/>
  <c r="T53" i="11"/>
  <c r="L53" i="11"/>
  <c r="AV75" i="11"/>
  <c r="AW75" i="11"/>
  <c r="G104" i="9"/>
  <c r="F104" i="9"/>
  <c r="H104" i="9"/>
  <c r="AB98" i="11"/>
  <c r="AA98" i="11"/>
  <c r="R68" i="9"/>
  <c r="P68" i="9"/>
  <c r="N68" i="9"/>
  <c r="T68" i="9"/>
  <c r="L68" i="9"/>
  <c r="AJ46" i="9"/>
  <c r="AH46" i="9"/>
  <c r="AN46" i="9"/>
  <c r="AL46" i="9"/>
  <c r="AF46" i="9"/>
  <c r="Q22" i="11"/>
  <c r="O22" i="11"/>
  <c r="U22" i="11"/>
  <c r="M22" i="11"/>
  <c r="S22" i="11"/>
  <c r="Q72" i="9"/>
  <c r="S72" i="9"/>
  <c r="O72" i="9"/>
  <c r="M72" i="9"/>
  <c r="K72" i="9"/>
  <c r="AA126" i="9"/>
  <c r="Z126" i="9"/>
  <c r="Z134" i="9"/>
  <c r="AA134" i="9"/>
  <c r="BD58" i="9"/>
  <c r="BB58" i="9"/>
  <c r="BH58" i="9"/>
  <c r="AZ58" i="9"/>
  <c r="BF58" i="9"/>
  <c r="K48" i="9"/>
  <c r="S48" i="9"/>
  <c r="Q48" i="9"/>
  <c r="O48" i="9"/>
  <c r="M48" i="9"/>
  <c r="AB68" i="9"/>
  <c r="AI68" i="9"/>
  <c r="AK68" i="9"/>
  <c r="AG68" i="9"/>
  <c r="AE68" i="9"/>
  <c r="AM68" i="9"/>
  <c r="AB49" i="11"/>
  <c r="AA49" i="11"/>
  <c r="AA126" i="11"/>
  <c r="AB126" i="11"/>
  <c r="AB58" i="11"/>
  <c r="AA58" i="11"/>
  <c r="AR38" i="11"/>
  <c r="AU38" i="11" s="1"/>
  <c r="AR30" i="11"/>
  <c r="AU30" i="11" s="1"/>
  <c r="AR32" i="11"/>
  <c r="AU32" i="11" s="1"/>
  <c r="AR39" i="11"/>
  <c r="AU39" i="11" s="1"/>
  <c r="AR35" i="11"/>
  <c r="AU35" i="11" s="1"/>
  <c r="AR33" i="11"/>
  <c r="AU33" i="11" s="1"/>
  <c r="AR29" i="11"/>
  <c r="AU29" i="11" s="1"/>
  <c r="AR22" i="11"/>
  <c r="AU22" i="11" s="1"/>
  <c r="AR28" i="11"/>
  <c r="AU28" i="11" s="1"/>
  <c r="AR23" i="11"/>
  <c r="AU23" i="11" s="1"/>
  <c r="AR24" i="11"/>
  <c r="AU24" i="11" s="1"/>
  <c r="AR31" i="11"/>
  <c r="AU31" i="11" s="1"/>
  <c r="AR27" i="11"/>
  <c r="AU27" i="11" s="1"/>
  <c r="AR25" i="11"/>
  <c r="AU25" i="11" s="1"/>
  <c r="AR21" i="11"/>
  <c r="AU21" i="11" s="1"/>
  <c r="AR20" i="11"/>
  <c r="AU20" i="11" s="1"/>
  <c r="AR34" i="11"/>
  <c r="AU34" i="11" s="1"/>
  <c r="AR36" i="11"/>
  <c r="AU36" i="11" s="1"/>
  <c r="AR19" i="11"/>
  <c r="AU19" i="11" s="1"/>
  <c r="AR37" i="11"/>
  <c r="AU37" i="11" s="1"/>
  <c r="AR26" i="11"/>
  <c r="AU26" i="11" s="1"/>
  <c r="AW57" i="11"/>
  <c r="AV57" i="11"/>
  <c r="AV84" i="11"/>
  <c r="AW84" i="11"/>
  <c r="I66" i="9"/>
  <c r="G113" i="9"/>
  <c r="F113" i="9"/>
  <c r="H113" i="9"/>
  <c r="AB92" i="11"/>
  <c r="AA92" i="11"/>
  <c r="AA93" i="9"/>
  <c r="Z93" i="9"/>
  <c r="AU71" i="9"/>
  <c r="AT71" i="9"/>
  <c r="AA111" i="9"/>
  <c r="Z111" i="9"/>
  <c r="P23" i="9"/>
  <c r="T23" i="9"/>
  <c r="P71" i="9"/>
  <c r="N71" i="9"/>
  <c r="T71" i="9"/>
  <c r="L71" i="9"/>
  <c r="R71" i="9"/>
  <c r="AJ68" i="9"/>
  <c r="AH68" i="9"/>
  <c r="AN68" i="9"/>
  <c r="AF68" i="9"/>
  <c r="AL68" i="9"/>
  <c r="R72" i="11"/>
  <c r="P72" i="11"/>
  <c r="T72" i="11"/>
  <c r="N72" i="11"/>
  <c r="L72" i="11"/>
  <c r="AA125" i="11"/>
  <c r="AB125" i="11"/>
  <c r="AA137" i="11"/>
  <c r="AB137" i="11"/>
  <c r="AO44" i="11"/>
  <c r="AG44" i="11"/>
  <c r="AM44" i="11"/>
  <c r="AC44" i="11"/>
  <c r="AD44" i="11" s="1"/>
  <c r="AK44" i="11"/>
  <c r="AI44" i="11"/>
  <c r="AB21" i="11"/>
  <c r="AA21" i="11"/>
  <c r="AW53" i="11"/>
  <c r="AV53" i="11"/>
  <c r="H80" i="9"/>
  <c r="F80" i="9"/>
  <c r="G80" i="9"/>
  <c r="AA78" i="9"/>
  <c r="Z78" i="9"/>
  <c r="H100" i="11"/>
  <c r="G100" i="11"/>
  <c r="F100" i="11"/>
  <c r="T75" i="11"/>
  <c r="L75" i="11"/>
  <c r="R75" i="11"/>
  <c r="P75" i="11"/>
  <c r="N75" i="11"/>
  <c r="T56" i="11"/>
  <c r="L56" i="11"/>
  <c r="R56" i="11"/>
  <c r="P56" i="11"/>
  <c r="N56" i="11"/>
  <c r="Q52" i="11"/>
  <c r="O52" i="11"/>
  <c r="U52" i="11"/>
  <c r="M52" i="11"/>
  <c r="S52" i="11"/>
  <c r="S59" i="11"/>
  <c r="Q59" i="11"/>
  <c r="O59" i="11"/>
  <c r="M59" i="11"/>
  <c r="U59" i="11"/>
  <c r="AA46" i="11"/>
  <c r="AB46" i="11"/>
  <c r="AB64" i="11"/>
  <c r="AA64" i="11"/>
  <c r="H27" i="11"/>
  <c r="I27" i="11" s="1"/>
  <c r="G27" i="11"/>
  <c r="F27" i="11"/>
  <c r="AI52" i="11"/>
  <c r="AO52" i="11"/>
  <c r="AG52" i="11"/>
  <c r="AM52" i="11"/>
  <c r="AK52" i="11"/>
  <c r="AC52" i="11"/>
  <c r="AD52" i="11" s="1"/>
  <c r="U44" i="11"/>
  <c r="M44" i="11"/>
  <c r="Q44" i="11"/>
  <c r="O44" i="11"/>
  <c r="S44" i="11"/>
  <c r="AV72" i="11"/>
  <c r="AW72" i="11"/>
  <c r="AA51" i="9"/>
  <c r="Z51" i="9"/>
  <c r="T54" i="9"/>
  <c r="L54" i="9"/>
  <c r="R54" i="9"/>
  <c r="P54" i="9"/>
  <c r="N54" i="9"/>
  <c r="R75" i="9"/>
  <c r="P75" i="9"/>
  <c r="N75" i="9"/>
  <c r="T75" i="9"/>
  <c r="L75" i="9"/>
  <c r="AB103" i="11"/>
  <c r="AA103" i="11"/>
  <c r="O52" i="9"/>
  <c r="Q52" i="9"/>
  <c r="M52" i="9"/>
  <c r="K52" i="9"/>
  <c r="S52" i="9"/>
  <c r="AJ64" i="9"/>
  <c r="AH64" i="9"/>
  <c r="AN64" i="9"/>
  <c r="AF64" i="9"/>
  <c r="AL64" i="9"/>
  <c r="N55" i="9"/>
  <c r="T55" i="9"/>
  <c r="L55" i="9"/>
  <c r="R55" i="9"/>
  <c r="P55" i="9"/>
  <c r="AU65" i="9"/>
  <c r="AT65" i="9"/>
  <c r="Z137" i="9"/>
  <c r="AA137" i="9"/>
  <c r="Z145" i="9"/>
  <c r="AA145" i="9"/>
  <c r="AB72" i="9"/>
  <c r="AI72" i="9"/>
  <c r="AM72" i="9"/>
  <c r="AG72" i="9"/>
  <c r="AK72" i="9"/>
  <c r="AE72" i="9"/>
  <c r="Q34" i="9"/>
  <c r="M34" i="9"/>
  <c r="N33" i="9"/>
  <c r="T33" i="9"/>
  <c r="R33" i="9"/>
  <c r="P33" i="9"/>
  <c r="L33" i="9"/>
  <c r="G117" i="11"/>
  <c r="H117" i="11"/>
  <c r="F117" i="11"/>
  <c r="G103" i="11"/>
  <c r="F103" i="11"/>
  <c r="H103" i="11"/>
  <c r="P78" i="11"/>
  <c r="L78" i="11"/>
  <c r="N78" i="11"/>
  <c r="T78" i="11"/>
  <c r="R78" i="11"/>
  <c r="R73" i="11"/>
  <c r="P73" i="11"/>
  <c r="N73" i="11"/>
  <c r="L73" i="11"/>
  <c r="T73" i="11"/>
  <c r="F57" i="11"/>
  <c r="H57" i="11"/>
  <c r="G57" i="11"/>
  <c r="O70" i="11"/>
  <c r="U70" i="11"/>
  <c r="M70" i="11"/>
  <c r="S70" i="11"/>
  <c r="Q70" i="11"/>
  <c r="AB122" i="11"/>
  <c r="AA122" i="11"/>
  <c r="AB123" i="11"/>
  <c r="AA123" i="11"/>
  <c r="AB141" i="11"/>
  <c r="AA141" i="11"/>
  <c r="AB147" i="11"/>
  <c r="AA147" i="11"/>
  <c r="AB45" i="11"/>
  <c r="AA45" i="11"/>
  <c r="AB55" i="11"/>
  <c r="AA55" i="11"/>
  <c r="AB65" i="11"/>
  <c r="AA65" i="11"/>
  <c r="AB76" i="11"/>
  <c r="AA76" i="11"/>
  <c r="AB77" i="11"/>
  <c r="AA77" i="11"/>
  <c r="G19" i="11"/>
  <c r="F19" i="11"/>
  <c r="H19" i="11"/>
  <c r="I19" i="11" s="1"/>
  <c r="H33" i="11"/>
  <c r="I33" i="11" s="1"/>
  <c r="G33" i="11"/>
  <c r="F33" i="11"/>
  <c r="AB25" i="11"/>
  <c r="AA25" i="11"/>
  <c r="H23" i="11"/>
  <c r="I23" i="11" s="1"/>
  <c r="G23" i="11"/>
  <c r="F23" i="11"/>
  <c r="AW56" i="11"/>
  <c r="AV56" i="11"/>
  <c r="S29" i="11"/>
  <c r="Q29" i="11"/>
  <c r="M29" i="11"/>
  <c r="U29" i="11"/>
  <c r="O29" i="11"/>
  <c r="G96" i="9"/>
  <c r="H96" i="9"/>
  <c r="F96" i="9"/>
  <c r="G114" i="9"/>
  <c r="F114" i="9"/>
  <c r="H114" i="9"/>
  <c r="AV64" i="11"/>
  <c r="AW64" i="11"/>
  <c r="AV71" i="11"/>
  <c r="AW71" i="11"/>
  <c r="AW78" i="11"/>
  <c r="AV78" i="11"/>
  <c r="P56" i="9"/>
  <c r="N56" i="9"/>
  <c r="T56" i="9"/>
  <c r="L56" i="9"/>
  <c r="R56" i="9"/>
  <c r="AA59" i="9"/>
  <c r="Z59" i="9"/>
  <c r="AA48" i="9"/>
  <c r="Z48" i="9"/>
  <c r="S73" i="9"/>
  <c r="K73" i="9"/>
  <c r="Q73" i="9"/>
  <c r="O73" i="9"/>
  <c r="M73" i="9"/>
  <c r="AT51" i="9"/>
  <c r="AU51" i="9"/>
  <c r="N70" i="9"/>
  <c r="T70" i="9"/>
  <c r="L70" i="9"/>
  <c r="R70" i="9"/>
  <c r="P70" i="9"/>
  <c r="AA99" i="11"/>
  <c r="AB99" i="11"/>
  <c r="AB90" i="11"/>
  <c r="K49" i="11"/>
  <c r="AF71" i="9"/>
  <c r="AL71" i="9"/>
  <c r="AJ71" i="9"/>
  <c r="H19" i="9"/>
  <c r="G19" i="9"/>
  <c r="F19" i="9"/>
  <c r="AA89" i="9"/>
  <c r="Z89" i="9"/>
  <c r="AT74" i="9"/>
  <c r="AU74" i="9"/>
  <c r="AU81" i="9"/>
  <c r="AT81" i="9"/>
  <c r="AU77" i="9"/>
  <c r="AT77" i="9"/>
  <c r="N51" i="9"/>
  <c r="T51" i="9"/>
  <c r="L51" i="9"/>
  <c r="R51" i="9"/>
  <c r="P51" i="9"/>
  <c r="Q46" i="11"/>
  <c r="O46" i="11"/>
  <c r="M46" i="11"/>
  <c r="U46" i="11"/>
  <c r="S46" i="11"/>
  <c r="AI73" i="9"/>
  <c r="AL58" i="9"/>
  <c r="AJ58" i="9"/>
  <c r="AH58" i="9"/>
  <c r="AF58" i="9"/>
  <c r="AN58" i="9"/>
  <c r="S45" i="9"/>
  <c r="Q45" i="9"/>
  <c r="O45" i="9"/>
  <c r="M45" i="9"/>
  <c r="K45" i="9"/>
  <c r="AA118" i="9"/>
  <c r="Z118" i="9"/>
  <c r="AA124" i="9"/>
  <c r="Z124" i="9"/>
  <c r="M74" i="9"/>
  <c r="O74" i="9"/>
  <c r="K74" i="9"/>
  <c r="Q74" i="9"/>
  <c r="S74" i="9"/>
  <c r="BF48" i="9"/>
  <c r="BD48" i="9"/>
  <c r="BH48" i="9"/>
  <c r="BB48" i="9"/>
  <c r="AZ48" i="9"/>
  <c r="BE59" i="9"/>
  <c r="AV59" i="9"/>
  <c r="BA59" i="9"/>
  <c r="AY59" i="9"/>
  <c r="BG59" i="9"/>
  <c r="BC59" i="9"/>
  <c r="Z131" i="9"/>
  <c r="AA131" i="9"/>
  <c r="Z146" i="9"/>
  <c r="AA146" i="9"/>
  <c r="Z148" i="9"/>
  <c r="AA148" i="9"/>
  <c r="N48" i="9"/>
  <c r="T48" i="9"/>
  <c r="L48" i="9"/>
  <c r="R48" i="9"/>
  <c r="P48" i="9"/>
  <c r="BB68" i="9"/>
  <c r="BH68" i="9"/>
  <c r="AZ68" i="9"/>
  <c r="BF68" i="9"/>
  <c r="BD68" i="9"/>
  <c r="AK114" i="9"/>
  <c r="AB114" i="9"/>
  <c r="AI114" i="9"/>
  <c r="AG114" i="9"/>
  <c r="AE114" i="9"/>
  <c r="AM114" i="9"/>
  <c r="K35" i="9"/>
  <c r="S35" i="9"/>
  <c r="Q35" i="9"/>
  <c r="O35" i="9"/>
  <c r="M35" i="9"/>
  <c r="AB143" i="11"/>
  <c r="AA143" i="11"/>
  <c r="T67" i="11"/>
  <c r="R67" i="11"/>
  <c r="N67" i="11"/>
  <c r="P67" i="11"/>
  <c r="L67" i="11"/>
  <c r="AA78" i="11"/>
  <c r="AB78" i="11"/>
  <c r="R54" i="11"/>
  <c r="P54" i="11"/>
  <c r="N54" i="11"/>
  <c r="T54" i="11"/>
  <c r="L54" i="11"/>
  <c r="AV59" i="11"/>
  <c r="AW59" i="11"/>
  <c r="S32" i="11"/>
  <c r="Q32" i="11"/>
  <c r="U32" i="11"/>
  <c r="O32" i="11"/>
  <c r="M32" i="11"/>
  <c r="K32" i="11" s="1"/>
  <c r="AA103" i="9"/>
  <c r="Z103" i="9"/>
  <c r="M51" i="9"/>
  <c r="K51" i="9"/>
  <c r="S51" i="9"/>
  <c r="Q51" i="9"/>
  <c r="O51" i="9"/>
  <c r="BB53" i="9"/>
  <c r="BH53" i="9"/>
  <c r="AZ53" i="9"/>
  <c r="BF53" i="9"/>
  <c r="BD53" i="9"/>
  <c r="Q31" i="9"/>
  <c r="O31" i="9"/>
  <c r="M31" i="9"/>
  <c r="S31" i="9"/>
  <c r="K31" i="9"/>
  <c r="BD47" i="9"/>
  <c r="BB47" i="9"/>
  <c r="BH47" i="9"/>
  <c r="BF47" i="9"/>
  <c r="AZ47" i="9"/>
  <c r="O71" i="9"/>
  <c r="Q71" i="9"/>
  <c r="M71" i="9"/>
  <c r="K71" i="9"/>
  <c r="S71" i="9"/>
  <c r="AA136" i="9"/>
  <c r="Z136" i="9"/>
  <c r="Q53" i="9"/>
  <c r="S53" i="9"/>
  <c r="O53" i="9"/>
  <c r="M53" i="9"/>
  <c r="K53" i="9"/>
  <c r="R64" i="9"/>
  <c r="P64" i="9"/>
  <c r="N64" i="9"/>
  <c r="L64" i="9"/>
  <c r="T64" i="9"/>
  <c r="P77" i="11"/>
  <c r="Q80" i="11"/>
  <c r="O80" i="11"/>
  <c r="M80" i="11"/>
  <c r="U80" i="11"/>
  <c r="S80" i="11"/>
  <c r="AA110" i="11"/>
  <c r="AB110" i="11"/>
  <c r="AA130" i="11"/>
  <c r="AB130" i="11"/>
  <c r="AB75" i="11"/>
  <c r="AA75" i="11"/>
  <c r="AB34" i="11"/>
  <c r="AA34" i="11"/>
  <c r="Q53" i="11"/>
  <c r="U53" i="11"/>
  <c r="S53" i="11"/>
  <c r="O53" i="11"/>
  <c r="M53" i="11"/>
  <c r="AW76" i="11"/>
  <c r="AV76" i="11"/>
  <c r="H92" i="9"/>
  <c r="F92" i="9"/>
  <c r="G92" i="9"/>
  <c r="AO50" i="11"/>
  <c r="AG50" i="11"/>
  <c r="AM50" i="11"/>
  <c r="AK50" i="11"/>
  <c r="AC50" i="11"/>
  <c r="AD50" i="11" s="1"/>
  <c r="AI50" i="11"/>
  <c r="G105" i="9"/>
  <c r="F105" i="9"/>
  <c r="H105" i="9"/>
  <c r="G28" i="9"/>
  <c r="H28" i="9"/>
  <c r="F28" i="9"/>
  <c r="R76" i="9"/>
  <c r="T76" i="9"/>
  <c r="P76" i="9"/>
  <c r="N76" i="9"/>
  <c r="L76" i="9"/>
  <c r="Z60" i="9"/>
  <c r="AA60" i="9"/>
  <c r="R24" i="11"/>
  <c r="N24" i="11"/>
  <c r="L24" i="11"/>
  <c r="T24" i="11"/>
  <c r="P24" i="11"/>
  <c r="AB91" i="11"/>
  <c r="AA91" i="11"/>
  <c r="O67" i="9"/>
  <c r="M67" i="9"/>
  <c r="K67" i="9"/>
  <c r="Q67" i="9"/>
  <c r="S67" i="9"/>
  <c r="AA91" i="9"/>
  <c r="Z91" i="9"/>
  <c r="Z149" i="9"/>
  <c r="AA149" i="9"/>
  <c r="Q64" i="9"/>
  <c r="O64" i="9"/>
  <c r="M64" i="9"/>
  <c r="K64" i="9"/>
  <c r="S64" i="9"/>
  <c r="AA48" i="11"/>
  <c r="AB48" i="11"/>
  <c r="AB138" i="11"/>
  <c r="AA138" i="11"/>
  <c r="AA72" i="11"/>
  <c r="AB72" i="11"/>
  <c r="AA27" i="11"/>
  <c r="AB27" i="11"/>
  <c r="AV81" i="11"/>
  <c r="AW81" i="11"/>
  <c r="K76" i="11"/>
  <c r="AA118" i="11"/>
  <c r="AB118" i="11"/>
  <c r="AA131" i="11"/>
  <c r="AB131" i="11"/>
  <c r="AA26" i="11"/>
  <c r="AB26" i="11"/>
  <c r="F20" i="11"/>
  <c r="G20" i="11"/>
  <c r="H20" i="11"/>
  <c r="I20" i="11" s="1"/>
  <c r="AW52" i="11"/>
  <c r="AV52" i="11"/>
  <c r="P29" i="11"/>
  <c r="N29" i="11"/>
  <c r="R29" i="11"/>
  <c r="T29" i="11"/>
  <c r="L29" i="11"/>
  <c r="AV66" i="11"/>
  <c r="AW66" i="11"/>
  <c r="G115" i="9"/>
  <c r="F115" i="9"/>
  <c r="H115" i="9"/>
  <c r="Z56" i="9"/>
  <c r="AA56" i="9"/>
  <c r="O24" i="11"/>
  <c r="AU60" i="9"/>
  <c r="AT60" i="9"/>
  <c r="M76" i="9"/>
  <c r="S76" i="9"/>
  <c r="Q76" i="9"/>
  <c r="O76" i="9"/>
  <c r="K76" i="9"/>
  <c r="AB95" i="11"/>
  <c r="AA95" i="11"/>
  <c r="T77" i="9"/>
  <c r="R77" i="9"/>
  <c r="P77" i="9"/>
  <c r="L77" i="9"/>
  <c r="N77" i="9"/>
  <c r="AT66" i="9"/>
  <c r="AU66" i="9"/>
  <c r="AB57" i="9"/>
  <c r="AI57" i="9"/>
  <c r="AM57" i="9"/>
  <c r="AK57" i="9"/>
  <c r="AG57" i="9"/>
  <c r="AE57" i="9"/>
  <c r="AC57" i="9" s="1"/>
  <c r="AO59" i="11"/>
  <c r="AM59" i="11"/>
  <c r="AC59" i="11"/>
  <c r="AD59" i="11" s="1"/>
  <c r="AK59" i="11"/>
  <c r="AI59" i="11"/>
  <c r="AG59" i="11"/>
  <c r="T47" i="9"/>
  <c r="L47" i="9"/>
  <c r="R47" i="9"/>
  <c r="N47" i="9"/>
  <c r="P47" i="9"/>
  <c r="AA116" i="9"/>
  <c r="Z116" i="9"/>
  <c r="N74" i="9"/>
  <c r="T74" i="9"/>
  <c r="L74" i="9"/>
  <c r="R74" i="9"/>
  <c r="P74" i="9"/>
  <c r="Z142" i="9"/>
  <c r="AA142" i="9"/>
  <c r="L57" i="9"/>
  <c r="BF55" i="9"/>
  <c r="BD55" i="9"/>
  <c r="BB55" i="9"/>
  <c r="BH55" i="9"/>
  <c r="AZ55" i="9"/>
  <c r="P49" i="9"/>
  <c r="N49" i="9"/>
  <c r="L49" i="9"/>
  <c r="T49" i="9"/>
  <c r="R49" i="9"/>
  <c r="Q78" i="11"/>
  <c r="O78" i="11"/>
  <c r="U78" i="11"/>
  <c r="M78" i="11"/>
  <c r="S78" i="11"/>
  <c r="L70" i="11"/>
  <c r="T70" i="11"/>
  <c r="R70" i="11"/>
  <c r="P70" i="11"/>
  <c r="N70" i="11"/>
  <c r="G51" i="11"/>
  <c r="F51" i="11"/>
  <c r="H51" i="11"/>
  <c r="O50" i="11"/>
  <c r="U50" i="11"/>
  <c r="M50" i="11"/>
  <c r="S50" i="11"/>
  <c r="Q50" i="11"/>
  <c r="I55" i="11"/>
  <c r="AB121" i="11"/>
  <c r="AA121" i="11"/>
  <c r="AB119" i="11"/>
  <c r="AA119" i="11"/>
  <c r="AA140" i="11"/>
  <c r="AB140" i="11"/>
  <c r="AB149" i="11"/>
  <c r="AA149" i="11"/>
  <c r="AB134" i="11"/>
  <c r="AA134" i="11"/>
  <c r="Q67" i="11"/>
  <c r="O67" i="11"/>
  <c r="U67" i="11"/>
  <c r="M67" i="11"/>
  <c r="S67" i="11"/>
  <c r="AB53" i="11"/>
  <c r="AA53" i="11"/>
  <c r="R47" i="11"/>
  <c r="P47" i="11"/>
  <c r="T47" i="11"/>
  <c r="N47" i="11"/>
  <c r="L47" i="11"/>
  <c r="AB79" i="11"/>
  <c r="AA79" i="11"/>
  <c r="AB66" i="11"/>
  <c r="AA66" i="11"/>
  <c r="S54" i="11"/>
  <c r="Q54" i="11"/>
  <c r="O54" i="11"/>
  <c r="M54" i="11"/>
  <c r="U54" i="11"/>
  <c r="H30" i="11"/>
  <c r="I30" i="11" s="1"/>
  <c r="F30" i="11"/>
  <c r="G30" i="11"/>
  <c r="AB23" i="11"/>
  <c r="AA23" i="11"/>
  <c r="AB28" i="11"/>
  <c r="AA28" i="11"/>
  <c r="AW50" i="11"/>
  <c r="AV50" i="11"/>
  <c r="AV46" i="11"/>
  <c r="AW46" i="11"/>
  <c r="L32" i="11"/>
  <c r="T32" i="11"/>
  <c r="P32" i="11"/>
  <c r="R32" i="11"/>
  <c r="N32" i="11"/>
  <c r="G95" i="9"/>
  <c r="F95" i="9"/>
  <c r="H95" i="9"/>
  <c r="G102" i="9"/>
  <c r="F102" i="9"/>
  <c r="H102" i="9"/>
  <c r="AV69" i="11"/>
  <c r="AW69" i="11"/>
  <c r="AW67" i="11"/>
  <c r="AV67" i="11"/>
  <c r="G117" i="9"/>
  <c r="F117" i="9"/>
  <c r="H117" i="9"/>
  <c r="S79" i="9"/>
  <c r="K79" i="9"/>
  <c r="Q79" i="9"/>
  <c r="O79" i="9"/>
  <c r="M79" i="9"/>
  <c r="AA66" i="9"/>
  <c r="Z66" i="9"/>
  <c r="Z69" i="9"/>
  <c r="AA69" i="9"/>
  <c r="AU45" i="9"/>
  <c r="AT45" i="9"/>
  <c r="G29" i="9"/>
  <c r="H29" i="9"/>
  <c r="F29" i="9"/>
  <c r="K56" i="11"/>
  <c r="Z67" i="9"/>
  <c r="AA67" i="9"/>
  <c r="AA96" i="11"/>
  <c r="AB96" i="11"/>
  <c r="AB94" i="11"/>
  <c r="AA94" i="11"/>
  <c r="AG71" i="9"/>
  <c r="AI71" i="9"/>
  <c r="AB71" i="9"/>
  <c r="AE71" i="9"/>
  <c r="AM71" i="9"/>
  <c r="AK71" i="9"/>
  <c r="J65" i="9"/>
  <c r="AA99" i="9"/>
  <c r="Z99" i="9"/>
  <c r="AA98" i="9"/>
  <c r="Z98" i="9"/>
  <c r="AT76" i="9"/>
  <c r="AU76" i="9"/>
  <c r="AU83" i="9"/>
  <c r="AT83" i="9"/>
  <c r="P22" i="11"/>
  <c r="R22" i="11"/>
  <c r="N22" i="11"/>
  <c r="L22" i="11"/>
  <c r="T22" i="11"/>
  <c r="L46" i="11"/>
  <c r="T46" i="11"/>
  <c r="R46" i="11"/>
  <c r="P46" i="11"/>
  <c r="N46" i="11"/>
  <c r="Q68" i="9"/>
  <c r="M68" i="9"/>
  <c r="S68" i="9"/>
  <c r="O68" i="9"/>
  <c r="K68" i="9"/>
  <c r="AK58" i="9"/>
  <c r="AB58" i="9"/>
  <c r="AE58" i="9"/>
  <c r="AI58" i="9"/>
  <c r="AG58" i="9"/>
  <c r="AM58" i="9"/>
  <c r="AA115" i="9"/>
  <c r="Z115" i="9"/>
  <c r="AA125" i="9"/>
  <c r="Z125" i="9"/>
  <c r="AT72" i="9"/>
  <c r="AU72" i="9"/>
  <c r="M47" i="9"/>
  <c r="K47" i="9"/>
  <c r="S47" i="9"/>
  <c r="O47" i="9"/>
  <c r="Q47" i="9"/>
  <c r="AH52" i="9"/>
  <c r="AN52" i="9"/>
  <c r="AF52" i="9"/>
  <c r="AL52" i="9"/>
  <c r="AJ52" i="9"/>
  <c r="Z133" i="9"/>
  <c r="AA133" i="9"/>
  <c r="Z132" i="9"/>
  <c r="AA132" i="9"/>
  <c r="AV58" i="9"/>
  <c r="BC58" i="9"/>
  <c r="BG58" i="9"/>
  <c r="BE58" i="9"/>
  <c r="BA58" i="9"/>
  <c r="AY58" i="9"/>
  <c r="R53" i="9"/>
  <c r="P53" i="9"/>
  <c r="N53" i="9"/>
  <c r="T53" i="9"/>
  <c r="L53" i="9"/>
  <c r="Q78" i="9"/>
  <c r="K78" i="9"/>
  <c r="S78" i="9"/>
  <c r="O78" i="9"/>
  <c r="M78" i="9"/>
  <c r="S32" i="9"/>
  <c r="K32" i="9"/>
  <c r="Q32" i="9"/>
  <c r="O32" i="9"/>
  <c r="M32" i="9"/>
  <c r="BA68" i="9"/>
  <c r="AY68" i="9"/>
  <c r="AV68" i="9"/>
  <c r="BG68" i="9"/>
  <c r="BE68" i="9"/>
  <c r="BC68" i="9"/>
  <c r="AJ114" i="9"/>
  <c r="AH114" i="9"/>
  <c r="AF114" i="9"/>
  <c r="AN114" i="9"/>
  <c r="AL114" i="9"/>
  <c r="AH45" i="9"/>
  <c r="AN45" i="9"/>
  <c r="AF45" i="9"/>
  <c r="AL45" i="9"/>
  <c r="AJ45" i="9"/>
  <c r="G80" i="3"/>
  <c r="P57" i="9" l="1"/>
  <c r="AB73" i="9"/>
  <c r="P73" i="9"/>
  <c r="AA94" i="9"/>
  <c r="Z102" i="9"/>
  <c r="R59" i="9"/>
  <c r="P59" i="9"/>
  <c r="N59" i="9"/>
  <c r="T59" i="9"/>
  <c r="L59" i="9"/>
  <c r="AJ65" i="9"/>
  <c r="AD65" i="9" s="1"/>
  <c r="R73" i="9"/>
  <c r="S77" i="11"/>
  <c r="AK73" i="9"/>
  <c r="T72" i="9"/>
  <c r="R77" i="11"/>
  <c r="I45" i="9"/>
  <c r="AN71" i="9"/>
  <c r="L73" i="9"/>
  <c r="O34" i="9"/>
  <c r="M57" i="9"/>
  <c r="U77" i="11"/>
  <c r="AB101" i="11"/>
  <c r="BG50" i="9"/>
  <c r="P50" i="11"/>
  <c r="BI44" i="11"/>
  <c r="AX44" i="11"/>
  <c r="BG44" i="11"/>
  <c r="BE44" i="11"/>
  <c r="BC44" i="11"/>
  <c r="BA44" i="11"/>
  <c r="AL65" i="9"/>
  <c r="N72" i="9"/>
  <c r="L77" i="11"/>
  <c r="T73" i="9"/>
  <c r="S34" i="9"/>
  <c r="L23" i="9"/>
  <c r="J23" i="9" s="1"/>
  <c r="O57" i="9"/>
  <c r="O77" i="11"/>
  <c r="AY50" i="9"/>
  <c r="O50" i="9"/>
  <c r="R50" i="11"/>
  <c r="N57" i="9"/>
  <c r="J57" i="9" s="1"/>
  <c r="Q24" i="11"/>
  <c r="Q77" i="11"/>
  <c r="K77" i="11" s="1"/>
  <c r="S24" i="11"/>
  <c r="R57" i="9"/>
  <c r="I68" i="9"/>
  <c r="P72" i="9"/>
  <c r="U24" i="11"/>
  <c r="T77" i="11"/>
  <c r="I53" i="9"/>
  <c r="I67" i="11"/>
  <c r="AE73" i="9"/>
  <c r="AC73" i="9" s="1"/>
  <c r="R23" i="9"/>
  <c r="S57" i="9"/>
  <c r="AN65" i="9"/>
  <c r="BA50" i="9"/>
  <c r="P44" i="9"/>
  <c r="Q50" i="9"/>
  <c r="T50" i="11"/>
  <c r="AM73" i="9"/>
  <c r="L72" i="9"/>
  <c r="I64" i="9"/>
  <c r="J64" i="9"/>
  <c r="AW59" i="9"/>
  <c r="AD58" i="9"/>
  <c r="AX59" i="9"/>
  <c r="AD57" i="9"/>
  <c r="J52" i="9"/>
  <c r="AC52" i="9"/>
  <c r="J34" i="9"/>
  <c r="AC46" i="9"/>
  <c r="I71" i="9"/>
  <c r="AX53" i="9"/>
  <c r="I76" i="11"/>
  <c r="I54" i="9"/>
  <c r="AX58" i="9"/>
  <c r="AD75" i="9"/>
  <c r="K75" i="11"/>
  <c r="AY45" i="11"/>
  <c r="AA105" i="9"/>
  <c r="Z105" i="9"/>
  <c r="R69" i="11"/>
  <c r="N69" i="11"/>
  <c r="T69" i="11"/>
  <c r="L69" i="11"/>
  <c r="P69" i="11"/>
  <c r="AA101" i="9"/>
  <c r="Z101" i="9"/>
  <c r="N66" i="11"/>
  <c r="T66" i="11"/>
  <c r="L66" i="11"/>
  <c r="P66" i="11"/>
  <c r="R66" i="11"/>
  <c r="I55" i="9"/>
  <c r="J44" i="9"/>
  <c r="S69" i="11"/>
  <c r="Q69" i="11"/>
  <c r="O69" i="11"/>
  <c r="M69" i="11"/>
  <c r="U69" i="11"/>
  <c r="AA92" i="9"/>
  <c r="Z92" i="9"/>
  <c r="O66" i="11"/>
  <c r="M66" i="11"/>
  <c r="U66" i="11"/>
  <c r="S66" i="11"/>
  <c r="Q66" i="11"/>
  <c r="AA97" i="9"/>
  <c r="Z97" i="9"/>
  <c r="AA90" i="9"/>
  <c r="Z90" i="9"/>
  <c r="I56" i="9"/>
  <c r="K74" i="11"/>
  <c r="I58" i="9"/>
  <c r="I46" i="9"/>
  <c r="K64" i="11"/>
  <c r="K72" i="11"/>
  <c r="BH44" i="9"/>
  <c r="BF44" i="9"/>
  <c r="BD44" i="9"/>
  <c r="BB44" i="9"/>
  <c r="AZ44" i="9"/>
  <c r="Q58" i="11"/>
  <c r="S58" i="11"/>
  <c r="O58" i="11"/>
  <c r="M58" i="11"/>
  <c r="U58" i="11"/>
  <c r="I76" i="9"/>
  <c r="I31" i="9"/>
  <c r="I54" i="11"/>
  <c r="J75" i="9"/>
  <c r="J32" i="9"/>
  <c r="I60" i="9"/>
  <c r="AW47" i="9"/>
  <c r="AC45" i="9"/>
  <c r="AY44" i="9"/>
  <c r="BG44" i="9"/>
  <c r="AV44" i="9"/>
  <c r="BE44" i="9"/>
  <c r="BA44" i="9"/>
  <c r="BC44" i="9"/>
  <c r="R58" i="11"/>
  <c r="P58" i="11"/>
  <c r="N58" i="11"/>
  <c r="T58" i="11"/>
  <c r="L58" i="11"/>
  <c r="O24" i="3"/>
  <c r="V27" i="1" s="1"/>
  <c r="AJ95" i="11"/>
  <c r="AP95" i="11"/>
  <c r="AH95" i="11"/>
  <c r="AE95" i="11"/>
  <c r="AN95" i="11"/>
  <c r="AL95" i="11"/>
  <c r="AK27" i="11"/>
  <c r="AI27" i="11"/>
  <c r="AG27" i="11"/>
  <c r="AO27" i="11"/>
  <c r="AM27" i="11"/>
  <c r="AC27" i="11"/>
  <c r="AD27" i="11" s="1"/>
  <c r="BE64" i="11"/>
  <c r="BC64" i="11"/>
  <c r="BG64" i="11"/>
  <c r="BA64" i="11"/>
  <c r="AX64" i="11"/>
  <c r="BI64" i="11"/>
  <c r="AI46" i="11"/>
  <c r="AO46" i="11"/>
  <c r="AG46" i="11"/>
  <c r="AM46" i="11"/>
  <c r="AK46" i="11"/>
  <c r="AC46" i="11"/>
  <c r="AD46" i="11" s="1"/>
  <c r="AV39" i="11"/>
  <c r="AW39" i="11"/>
  <c r="AE89" i="11"/>
  <c r="AP89" i="11"/>
  <c r="AN89" i="11"/>
  <c r="AH89" i="11"/>
  <c r="AL89" i="11"/>
  <c r="AJ89" i="11"/>
  <c r="AM19" i="11"/>
  <c r="AG19" i="11"/>
  <c r="AC19" i="11"/>
  <c r="AD19" i="11" s="1"/>
  <c r="AO19" i="11"/>
  <c r="AK19" i="11"/>
  <c r="AI19" i="11"/>
  <c r="AM56" i="11"/>
  <c r="AK56" i="11"/>
  <c r="AC56" i="11"/>
  <c r="AD56" i="11" s="1"/>
  <c r="AI56" i="11"/>
  <c r="AO56" i="11"/>
  <c r="AG56" i="11"/>
  <c r="O45" i="11"/>
  <c r="M45" i="11"/>
  <c r="Q45" i="11"/>
  <c r="U45" i="11"/>
  <c r="S45" i="11"/>
  <c r="AU28" i="9"/>
  <c r="AT28" i="9"/>
  <c r="S24" i="9"/>
  <c r="K24" i="9"/>
  <c r="Q24" i="9"/>
  <c r="O24" i="9"/>
  <c r="M24" i="9"/>
  <c r="AK119" i="9"/>
  <c r="AB119" i="9"/>
  <c r="AI119" i="9"/>
  <c r="AM119" i="9"/>
  <c r="AG119" i="9"/>
  <c r="AE119" i="9"/>
  <c r="BG77" i="11"/>
  <c r="AX77" i="11"/>
  <c r="BC77" i="11"/>
  <c r="BA77" i="11"/>
  <c r="BI77" i="11"/>
  <c r="BE77" i="11"/>
  <c r="AG71" i="11"/>
  <c r="AO71" i="11"/>
  <c r="AK71" i="11"/>
  <c r="AM71" i="11"/>
  <c r="AI71" i="11"/>
  <c r="AC71" i="11"/>
  <c r="P71" i="11"/>
  <c r="N71" i="11"/>
  <c r="T71" i="11"/>
  <c r="R71" i="11"/>
  <c r="L71" i="11"/>
  <c r="J49" i="9"/>
  <c r="BE66" i="9"/>
  <c r="AV66" i="9"/>
  <c r="BG66" i="9"/>
  <c r="BC66" i="9"/>
  <c r="BA66" i="9"/>
  <c r="AY66" i="9"/>
  <c r="AN72" i="11"/>
  <c r="AL72" i="11"/>
  <c r="AJ72" i="11"/>
  <c r="AP72" i="11"/>
  <c r="AH72" i="11"/>
  <c r="AE72" i="11"/>
  <c r="AJ103" i="9"/>
  <c r="AN103" i="9"/>
  <c r="AL103" i="9"/>
  <c r="AF103" i="9"/>
  <c r="AH103" i="9"/>
  <c r="K29" i="11"/>
  <c r="AE123" i="11"/>
  <c r="AJ123" i="11"/>
  <c r="AH123" i="11"/>
  <c r="AP123" i="11"/>
  <c r="AN123" i="11"/>
  <c r="AL123" i="11"/>
  <c r="AF78" i="9"/>
  <c r="AN78" i="9"/>
  <c r="AL78" i="9"/>
  <c r="AJ78" i="9"/>
  <c r="AH78" i="9"/>
  <c r="AV32" i="11"/>
  <c r="AW32" i="11"/>
  <c r="J46" i="9"/>
  <c r="AA30" i="9"/>
  <c r="Z30" i="9"/>
  <c r="BC60" i="11"/>
  <c r="BI60" i="11"/>
  <c r="BA60" i="11"/>
  <c r="AX60" i="11"/>
  <c r="BG60" i="11"/>
  <c r="BE60" i="11"/>
  <c r="AT36" i="9"/>
  <c r="AU36" i="9"/>
  <c r="BC47" i="11"/>
  <c r="BA47" i="11"/>
  <c r="BI47" i="11"/>
  <c r="AX47" i="11"/>
  <c r="BG47" i="11"/>
  <c r="BE47" i="11"/>
  <c r="BC55" i="11"/>
  <c r="BA55" i="11"/>
  <c r="AX55" i="11"/>
  <c r="BI55" i="11"/>
  <c r="BG55" i="11"/>
  <c r="BE55" i="11"/>
  <c r="AK74" i="11"/>
  <c r="AC74" i="11"/>
  <c r="AI74" i="11"/>
  <c r="AG74" i="11"/>
  <c r="AO74" i="11"/>
  <c r="AM74" i="11"/>
  <c r="BB64" i="9"/>
  <c r="BH64" i="9"/>
  <c r="AZ64" i="9"/>
  <c r="BF64" i="9"/>
  <c r="BD64" i="9"/>
  <c r="AP29" i="11"/>
  <c r="AH29" i="11"/>
  <c r="AN29" i="11"/>
  <c r="AE29" i="11"/>
  <c r="AF29" i="11" s="1"/>
  <c r="AL29" i="11"/>
  <c r="AJ29" i="11"/>
  <c r="AP71" i="11"/>
  <c r="AH71" i="11"/>
  <c r="AN71" i="11"/>
  <c r="AE71" i="11"/>
  <c r="AL71" i="11"/>
  <c r="AJ71" i="11"/>
  <c r="AJ111" i="11"/>
  <c r="AH111" i="11"/>
  <c r="AP111" i="11"/>
  <c r="AN111" i="11"/>
  <c r="AE111" i="11"/>
  <c r="AL111" i="11"/>
  <c r="AM130" i="9"/>
  <c r="AB130" i="9"/>
  <c r="AK130" i="9"/>
  <c r="AI130" i="9"/>
  <c r="AG130" i="9"/>
  <c r="AE130" i="9"/>
  <c r="BF74" i="11"/>
  <c r="BB74" i="11"/>
  <c r="BJ74" i="11"/>
  <c r="BH74" i="11"/>
  <c r="BD74" i="11"/>
  <c r="AN74" i="9"/>
  <c r="AF74" i="9"/>
  <c r="AL74" i="9"/>
  <c r="AJ74" i="9"/>
  <c r="AH74" i="9"/>
  <c r="U34" i="11"/>
  <c r="M34" i="11"/>
  <c r="S34" i="11"/>
  <c r="O34" i="11"/>
  <c r="Q34" i="11"/>
  <c r="AB132" i="9"/>
  <c r="AG132" i="9"/>
  <c r="AK132" i="9"/>
  <c r="AM132" i="9"/>
  <c r="AI132" i="9"/>
  <c r="AE132" i="9"/>
  <c r="M29" i="9"/>
  <c r="S29" i="9"/>
  <c r="K29" i="9"/>
  <c r="Q29" i="9"/>
  <c r="O29" i="9"/>
  <c r="BF46" i="11"/>
  <c r="BD46" i="11"/>
  <c r="BB46" i="11"/>
  <c r="BJ46" i="11"/>
  <c r="BH46" i="11"/>
  <c r="AO134" i="11"/>
  <c r="AG134" i="11"/>
  <c r="AM134" i="11"/>
  <c r="AI134" i="11"/>
  <c r="AK134" i="11"/>
  <c r="AC134" i="11"/>
  <c r="I67" i="9"/>
  <c r="AE34" i="11"/>
  <c r="AF34" i="11" s="1"/>
  <c r="AN34" i="11"/>
  <c r="AL34" i="11"/>
  <c r="AJ34" i="11"/>
  <c r="AH34" i="11"/>
  <c r="AP34" i="11"/>
  <c r="AM122" i="11"/>
  <c r="AG122" i="11"/>
  <c r="AO122" i="11"/>
  <c r="AK122" i="11"/>
  <c r="AI122" i="11"/>
  <c r="AC122" i="11"/>
  <c r="K44" i="11"/>
  <c r="N27" i="11"/>
  <c r="T27" i="11"/>
  <c r="L27" i="11"/>
  <c r="R27" i="11"/>
  <c r="P27" i="11"/>
  <c r="K59" i="11"/>
  <c r="AI125" i="11"/>
  <c r="AO125" i="11"/>
  <c r="AG125" i="11"/>
  <c r="AC125" i="11"/>
  <c r="AM125" i="11"/>
  <c r="AK125" i="11"/>
  <c r="BH71" i="9"/>
  <c r="AZ71" i="9"/>
  <c r="BF71" i="9"/>
  <c r="BD71" i="9"/>
  <c r="BB71" i="9"/>
  <c r="AW36" i="11"/>
  <c r="AV36" i="11"/>
  <c r="AW23" i="11"/>
  <c r="AV23" i="11"/>
  <c r="AW30" i="11"/>
  <c r="AV30" i="11"/>
  <c r="AB126" i="9"/>
  <c r="AK126" i="9"/>
  <c r="AI126" i="9"/>
  <c r="AG126" i="9"/>
  <c r="AM126" i="9"/>
  <c r="AE126" i="9"/>
  <c r="K22" i="11"/>
  <c r="R79" i="11"/>
  <c r="P79" i="11"/>
  <c r="N79" i="11"/>
  <c r="T79" i="11"/>
  <c r="L79" i="11"/>
  <c r="AG147" i="9"/>
  <c r="AK147" i="9"/>
  <c r="AI147" i="9"/>
  <c r="AM147" i="9"/>
  <c r="AE147" i="9"/>
  <c r="AB147" i="9"/>
  <c r="AH123" i="9"/>
  <c r="AJ123" i="9"/>
  <c r="AF123" i="9"/>
  <c r="AN123" i="9"/>
  <c r="AL123" i="9"/>
  <c r="AG77" i="9"/>
  <c r="AE77" i="9"/>
  <c r="AM77" i="9"/>
  <c r="AB77" i="9"/>
  <c r="AK77" i="9"/>
  <c r="AI77" i="9"/>
  <c r="Z35" i="9"/>
  <c r="AA35" i="9"/>
  <c r="AA21" i="9"/>
  <c r="Z21" i="9"/>
  <c r="AL50" i="9"/>
  <c r="AJ50" i="9"/>
  <c r="AH50" i="9"/>
  <c r="AN50" i="9"/>
  <c r="AF50" i="9"/>
  <c r="BD82" i="11"/>
  <c r="BJ82" i="11"/>
  <c r="BH82" i="11"/>
  <c r="BF82" i="11"/>
  <c r="BB82" i="11"/>
  <c r="BJ60" i="11"/>
  <c r="BH60" i="11"/>
  <c r="BF60" i="11"/>
  <c r="BD60" i="11"/>
  <c r="BB60" i="11"/>
  <c r="O35" i="11"/>
  <c r="M35" i="11"/>
  <c r="U35" i="11"/>
  <c r="S35" i="11"/>
  <c r="Q35" i="11"/>
  <c r="AO68" i="11"/>
  <c r="AC68" i="11"/>
  <c r="AM68" i="11"/>
  <c r="AK68" i="11"/>
  <c r="AI68" i="11"/>
  <c r="AG68" i="11"/>
  <c r="AH116" i="11"/>
  <c r="AP116" i="11"/>
  <c r="AJ116" i="11"/>
  <c r="AN116" i="11"/>
  <c r="AL116" i="11"/>
  <c r="AE116" i="11"/>
  <c r="AK96" i="9"/>
  <c r="AB96" i="9"/>
  <c r="AI96" i="9"/>
  <c r="AG96" i="9"/>
  <c r="AE96" i="9"/>
  <c r="AM96" i="9"/>
  <c r="AT39" i="9"/>
  <c r="AU39" i="9"/>
  <c r="AT23" i="9"/>
  <c r="AU23" i="9"/>
  <c r="AM76" i="9"/>
  <c r="AE76" i="9"/>
  <c r="AK76" i="9"/>
  <c r="AB76" i="9"/>
  <c r="AI76" i="9"/>
  <c r="AG76" i="9"/>
  <c r="AO20" i="11"/>
  <c r="AG20" i="11"/>
  <c r="AM20" i="11"/>
  <c r="AK20" i="11"/>
  <c r="AC20" i="11"/>
  <c r="AD20" i="11" s="1"/>
  <c r="AI20" i="11"/>
  <c r="AI113" i="11"/>
  <c r="AO113" i="11"/>
  <c r="AC113" i="11"/>
  <c r="AG113" i="11"/>
  <c r="AK113" i="11"/>
  <c r="AM113" i="11"/>
  <c r="BA64" i="9"/>
  <c r="AV64" i="9"/>
  <c r="BE64" i="9"/>
  <c r="BG64" i="9"/>
  <c r="BC64" i="9"/>
  <c r="AY64" i="9"/>
  <c r="O30" i="9"/>
  <c r="M30" i="9"/>
  <c r="S30" i="9"/>
  <c r="K30" i="9"/>
  <c r="Q30" i="9"/>
  <c r="I69" i="9"/>
  <c r="AO29" i="11"/>
  <c r="AM29" i="11"/>
  <c r="AC29" i="11"/>
  <c r="AD29" i="11" s="1"/>
  <c r="AK29" i="11"/>
  <c r="AI29" i="11"/>
  <c r="AG29" i="11"/>
  <c r="AN135" i="9"/>
  <c r="AF135" i="9"/>
  <c r="AL135" i="9"/>
  <c r="AJ135" i="9"/>
  <c r="AH135" i="9"/>
  <c r="AI121" i="9"/>
  <c r="AM121" i="9"/>
  <c r="AG121" i="9"/>
  <c r="AK121" i="9"/>
  <c r="AE121" i="9"/>
  <c r="AB121" i="9"/>
  <c r="O22" i="9"/>
  <c r="M22" i="9"/>
  <c r="S22" i="9"/>
  <c r="K22" i="9"/>
  <c r="Q22" i="9"/>
  <c r="BE68" i="11"/>
  <c r="BC68" i="11"/>
  <c r="AX68" i="11"/>
  <c r="BA68" i="11"/>
  <c r="BG68" i="11"/>
  <c r="BI68" i="11"/>
  <c r="BD58" i="11"/>
  <c r="BB58" i="11"/>
  <c r="BJ58" i="11"/>
  <c r="BF58" i="11"/>
  <c r="BH58" i="11"/>
  <c r="M31" i="11"/>
  <c r="U31" i="11"/>
  <c r="S31" i="11"/>
  <c r="O31" i="11"/>
  <c r="Q31" i="11"/>
  <c r="AM73" i="11"/>
  <c r="AC73" i="11"/>
  <c r="AK73" i="11"/>
  <c r="AG73" i="11"/>
  <c r="AO73" i="11"/>
  <c r="AI73" i="11"/>
  <c r="AN145" i="11"/>
  <c r="AE145" i="11"/>
  <c r="AL145" i="11"/>
  <c r="AJ145" i="11"/>
  <c r="AH145" i="11"/>
  <c r="AP145" i="11"/>
  <c r="AM114" i="11"/>
  <c r="AC114" i="11"/>
  <c r="AK114" i="11"/>
  <c r="AG114" i="11"/>
  <c r="AO114" i="11"/>
  <c r="AI114" i="11"/>
  <c r="I48" i="11"/>
  <c r="S71" i="11"/>
  <c r="O71" i="11"/>
  <c r="U71" i="11"/>
  <c r="M71" i="11"/>
  <c r="Q71" i="11"/>
  <c r="AC65" i="9"/>
  <c r="AC53" i="9"/>
  <c r="AJ138" i="9"/>
  <c r="AH138" i="9"/>
  <c r="AN138" i="9"/>
  <c r="AF138" i="9"/>
  <c r="AL138" i="9"/>
  <c r="AJ113" i="9"/>
  <c r="AN113" i="9"/>
  <c r="AL113" i="9"/>
  <c r="AH113" i="9"/>
  <c r="AF113" i="9"/>
  <c r="BC75" i="9"/>
  <c r="BG75" i="9"/>
  <c r="BE75" i="9"/>
  <c r="AV75" i="9"/>
  <c r="AY75" i="9"/>
  <c r="BA75" i="9"/>
  <c r="BD80" i="11"/>
  <c r="BF80" i="11"/>
  <c r="BJ80" i="11"/>
  <c r="BH80" i="11"/>
  <c r="BB80" i="11"/>
  <c r="AM74" i="9"/>
  <c r="AE74" i="9"/>
  <c r="AB74" i="9"/>
  <c r="AG74" i="9"/>
  <c r="AK74" i="9"/>
  <c r="AI74" i="9"/>
  <c r="AK112" i="9"/>
  <c r="AB112" i="9"/>
  <c r="AI112" i="9"/>
  <c r="AG112" i="9"/>
  <c r="AM112" i="9"/>
  <c r="AE112" i="9"/>
  <c r="M25" i="9"/>
  <c r="S25" i="9"/>
  <c r="K25" i="9"/>
  <c r="Q25" i="9"/>
  <c r="O25" i="9"/>
  <c r="P34" i="11"/>
  <c r="N34" i="11"/>
  <c r="L34" i="11"/>
  <c r="T34" i="11"/>
  <c r="R34" i="11"/>
  <c r="AW58" i="9"/>
  <c r="AJ133" i="9"/>
  <c r="AH133" i="9"/>
  <c r="AL133" i="9"/>
  <c r="AF133" i="9"/>
  <c r="AN133" i="9"/>
  <c r="AJ99" i="9"/>
  <c r="AF99" i="9"/>
  <c r="AN99" i="9"/>
  <c r="AL99" i="9"/>
  <c r="AH99" i="9"/>
  <c r="AK94" i="11"/>
  <c r="AC94" i="11"/>
  <c r="AG94" i="11"/>
  <c r="AI94" i="11"/>
  <c r="AO94" i="11"/>
  <c r="AM94" i="11"/>
  <c r="BI67" i="11"/>
  <c r="BA67" i="11"/>
  <c r="BG67" i="11"/>
  <c r="BE67" i="11"/>
  <c r="BC67" i="11"/>
  <c r="AX67" i="11"/>
  <c r="BI46" i="11"/>
  <c r="BA46" i="11"/>
  <c r="BG46" i="11"/>
  <c r="BE46" i="11"/>
  <c r="BC46" i="11"/>
  <c r="AX46" i="11"/>
  <c r="R30" i="11"/>
  <c r="P30" i="11"/>
  <c r="N30" i="11"/>
  <c r="L30" i="11"/>
  <c r="T30" i="11"/>
  <c r="AP66" i="11"/>
  <c r="AH66" i="11"/>
  <c r="AN66" i="11"/>
  <c r="AL66" i="11"/>
  <c r="AJ66" i="11"/>
  <c r="AE66" i="11"/>
  <c r="AI53" i="11"/>
  <c r="AC53" i="11"/>
  <c r="AD53" i="11" s="1"/>
  <c r="AO53" i="11"/>
  <c r="AM53" i="11"/>
  <c r="AK53" i="11"/>
  <c r="AG53" i="11"/>
  <c r="AN134" i="11"/>
  <c r="AE134" i="11"/>
  <c r="AJ134" i="11"/>
  <c r="AP134" i="11"/>
  <c r="AH134" i="11"/>
  <c r="AL134" i="11"/>
  <c r="AP121" i="11"/>
  <c r="AH121" i="11"/>
  <c r="AE121" i="11"/>
  <c r="AN121" i="11"/>
  <c r="AL121" i="11"/>
  <c r="AJ121" i="11"/>
  <c r="P51" i="11"/>
  <c r="N51" i="11"/>
  <c r="T51" i="11"/>
  <c r="L51" i="11"/>
  <c r="R51" i="11"/>
  <c r="K78" i="11"/>
  <c r="J77" i="9"/>
  <c r="AX66" i="11"/>
  <c r="BC66" i="11"/>
  <c r="BA66" i="11"/>
  <c r="BI66" i="11"/>
  <c r="BE66" i="11"/>
  <c r="BG66" i="11"/>
  <c r="AI118" i="11"/>
  <c r="AC118" i="11"/>
  <c r="AK118" i="11"/>
  <c r="AG118" i="11"/>
  <c r="AO118" i="11"/>
  <c r="AM118" i="11"/>
  <c r="AK138" i="11"/>
  <c r="AC138" i="11"/>
  <c r="AI138" i="11"/>
  <c r="AO138" i="11"/>
  <c r="AG138" i="11"/>
  <c r="AM138" i="11"/>
  <c r="S28" i="9"/>
  <c r="K28" i="9"/>
  <c r="Q28" i="9"/>
  <c r="O28" i="9"/>
  <c r="M28" i="9"/>
  <c r="BJ76" i="11"/>
  <c r="BH76" i="11"/>
  <c r="BB76" i="11"/>
  <c r="BF76" i="11"/>
  <c r="BD76" i="11"/>
  <c r="AG75" i="11"/>
  <c r="AO75" i="11"/>
  <c r="AM75" i="11"/>
  <c r="AC75" i="11"/>
  <c r="AI75" i="11"/>
  <c r="AK75" i="11"/>
  <c r="K80" i="11"/>
  <c r="I35" i="9"/>
  <c r="AM148" i="9"/>
  <c r="AE148" i="9"/>
  <c r="AB148" i="9"/>
  <c r="AG148" i="9"/>
  <c r="AI148" i="9"/>
  <c r="AK148" i="9"/>
  <c r="I74" i="9"/>
  <c r="AH89" i="9"/>
  <c r="AF89" i="9"/>
  <c r="AN89" i="9"/>
  <c r="AL89" i="9"/>
  <c r="AJ89" i="9"/>
  <c r="J70" i="9"/>
  <c r="I73" i="9"/>
  <c r="BI78" i="11"/>
  <c r="BA78" i="11"/>
  <c r="BG78" i="11"/>
  <c r="BE78" i="11"/>
  <c r="AX78" i="11"/>
  <c r="BC78" i="11"/>
  <c r="AL25" i="11"/>
  <c r="AP25" i="11"/>
  <c r="AN25" i="11"/>
  <c r="AE25" i="11"/>
  <c r="AF25" i="11" s="1"/>
  <c r="AJ25" i="11"/>
  <c r="AH25" i="11"/>
  <c r="AP77" i="11"/>
  <c r="AH77" i="11"/>
  <c r="AN77" i="11"/>
  <c r="AL77" i="11"/>
  <c r="AJ77" i="11"/>
  <c r="AE77" i="11"/>
  <c r="AP45" i="11"/>
  <c r="AH45" i="11"/>
  <c r="AN45" i="11"/>
  <c r="AL45" i="11"/>
  <c r="AJ45" i="11"/>
  <c r="AE45" i="11"/>
  <c r="AF45" i="11" s="1"/>
  <c r="AP122" i="11"/>
  <c r="AH122" i="11"/>
  <c r="AE122" i="11"/>
  <c r="AN122" i="11"/>
  <c r="AL122" i="11"/>
  <c r="AJ122" i="11"/>
  <c r="N57" i="11"/>
  <c r="P57" i="11"/>
  <c r="T57" i="11"/>
  <c r="L57" i="11"/>
  <c r="R57" i="11"/>
  <c r="AB145" i="9"/>
  <c r="AI145" i="9"/>
  <c r="AG145" i="9"/>
  <c r="AK145" i="9"/>
  <c r="AM145" i="9"/>
  <c r="AE145" i="9"/>
  <c r="I52" i="9"/>
  <c r="AM51" i="9"/>
  <c r="AE51" i="9"/>
  <c r="AB51" i="9"/>
  <c r="AK51" i="9"/>
  <c r="AI51" i="9"/>
  <c r="AG51" i="9"/>
  <c r="O27" i="11"/>
  <c r="M27" i="11"/>
  <c r="S27" i="11"/>
  <c r="U27" i="11"/>
  <c r="Q27" i="11"/>
  <c r="I75" i="11"/>
  <c r="M80" i="9"/>
  <c r="K80" i="9"/>
  <c r="S80" i="9"/>
  <c r="Q80" i="9"/>
  <c r="O80" i="9"/>
  <c r="I72" i="11"/>
  <c r="AK93" i="9"/>
  <c r="AI93" i="9"/>
  <c r="AE93" i="9"/>
  <c r="AM93" i="9"/>
  <c r="AB93" i="9"/>
  <c r="AG93" i="9"/>
  <c r="BD84" i="11"/>
  <c r="BF84" i="11"/>
  <c r="BJ84" i="11"/>
  <c r="BH84" i="11"/>
  <c r="BB84" i="11"/>
  <c r="AW34" i="11"/>
  <c r="AV34" i="11"/>
  <c r="AW28" i="11"/>
  <c r="AV28" i="11"/>
  <c r="AV38" i="11"/>
  <c r="AW38" i="11"/>
  <c r="AC68" i="9"/>
  <c r="AJ126" i="9"/>
  <c r="AH126" i="9"/>
  <c r="AL126" i="9"/>
  <c r="AF126" i="9"/>
  <c r="AN126" i="9"/>
  <c r="J68" i="9"/>
  <c r="S79" i="11"/>
  <c r="Q79" i="11"/>
  <c r="O79" i="11"/>
  <c r="M79" i="11"/>
  <c r="U79" i="11"/>
  <c r="I33" i="9"/>
  <c r="AB144" i="9"/>
  <c r="AM144" i="9"/>
  <c r="AK144" i="9"/>
  <c r="AI144" i="9"/>
  <c r="AG144" i="9"/>
  <c r="AE144" i="9"/>
  <c r="AK123" i="9"/>
  <c r="AB123" i="9"/>
  <c r="AI123" i="9"/>
  <c r="AM123" i="9"/>
  <c r="AG123" i="9"/>
  <c r="AE123" i="9"/>
  <c r="AN77" i="9"/>
  <c r="AL77" i="9"/>
  <c r="AJ77" i="9"/>
  <c r="AF77" i="9"/>
  <c r="AH77" i="9"/>
  <c r="AA19" i="9"/>
  <c r="Z19" i="9"/>
  <c r="AA25" i="9"/>
  <c r="Z25" i="9"/>
  <c r="AK50" i="9"/>
  <c r="AB50" i="9"/>
  <c r="AM50" i="9"/>
  <c r="AG50" i="9"/>
  <c r="AI50" i="9"/>
  <c r="AE50" i="9"/>
  <c r="BA82" i="11"/>
  <c r="BI82" i="11"/>
  <c r="BE82" i="11"/>
  <c r="BC82" i="11"/>
  <c r="BG82" i="11"/>
  <c r="AX82" i="11"/>
  <c r="BC48" i="11"/>
  <c r="BI48" i="11"/>
  <c r="BA48" i="11"/>
  <c r="BG48" i="11"/>
  <c r="BE48" i="11"/>
  <c r="AX48" i="11"/>
  <c r="P35" i="11"/>
  <c r="N35" i="11"/>
  <c r="T35" i="11"/>
  <c r="L35" i="11"/>
  <c r="R35" i="11"/>
  <c r="AJ68" i="11"/>
  <c r="AP68" i="11"/>
  <c r="AH68" i="11"/>
  <c r="AN68" i="11"/>
  <c r="AE68" i="11"/>
  <c r="AL68" i="11"/>
  <c r="AK116" i="11"/>
  <c r="AC116" i="11"/>
  <c r="AG116" i="11"/>
  <c r="AO116" i="11"/>
  <c r="AM116" i="11"/>
  <c r="AI116" i="11"/>
  <c r="I52" i="11"/>
  <c r="AJ96" i="9"/>
  <c r="AN96" i="9"/>
  <c r="AL96" i="9"/>
  <c r="AH96" i="9"/>
  <c r="AF96" i="9"/>
  <c r="AT38" i="9"/>
  <c r="AU38" i="9"/>
  <c r="AU27" i="9"/>
  <c r="AT27" i="9"/>
  <c r="BG70" i="11"/>
  <c r="BE70" i="11"/>
  <c r="BC70" i="11"/>
  <c r="BA70" i="11"/>
  <c r="BI70" i="11"/>
  <c r="AX70" i="11"/>
  <c r="AN20" i="11"/>
  <c r="AE20" i="11"/>
  <c r="AF20" i="11" s="1"/>
  <c r="AJ20" i="11"/>
  <c r="AH20" i="11"/>
  <c r="AL20" i="11"/>
  <c r="AP20" i="11"/>
  <c r="AP136" i="11"/>
  <c r="AH136" i="11"/>
  <c r="AL136" i="11"/>
  <c r="AE136" i="11"/>
  <c r="AN136" i="11"/>
  <c r="AJ136" i="11"/>
  <c r="I60" i="11"/>
  <c r="N30" i="9"/>
  <c r="R30" i="9"/>
  <c r="P30" i="9"/>
  <c r="L30" i="9"/>
  <c r="T30" i="9"/>
  <c r="AE70" i="11"/>
  <c r="AH70" i="11"/>
  <c r="AN70" i="11"/>
  <c r="AP70" i="11"/>
  <c r="AL70" i="11"/>
  <c r="AJ70" i="11"/>
  <c r="AG44" i="9"/>
  <c r="AE44" i="9"/>
  <c r="AM44" i="9"/>
  <c r="AB44" i="9"/>
  <c r="AK44" i="9"/>
  <c r="AI44" i="9"/>
  <c r="AL30" i="11"/>
  <c r="AH30" i="11"/>
  <c r="AN30" i="11"/>
  <c r="AJ30" i="11"/>
  <c r="AP30" i="11"/>
  <c r="AE30" i="11"/>
  <c r="AF30" i="11" s="1"/>
  <c r="O68" i="11"/>
  <c r="M68" i="11"/>
  <c r="U68" i="11"/>
  <c r="Q68" i="11"/>
  <c r="S68" i="11"/>
  <c r="AX46" i="9"/>
  <c r="AE135" i="9"/>
  <c r="AM135" i="9"/>
  <c r="AB135" i="9"/>
  <c r="AK135" i="9"/>
  <c r="AG135" i="9"/>
  <c r="AI135" i="9"/>
  <c r="AL121" i="9"/>
  <c r="AJ121" i="9"/>
  <c r="AH121" i="9"/>
  <c r="AF121" i="9"/>
  <c r="AN121" i="9"/>
  <c r="AC64" i="9"/>
  <c r="I77" i="9"/>
  <c r="N22" i="9"/>
  <c r="L22" i="9"/>
  <c r="R22" i="9"/>
  <c r="P22" i="9"/>
  <c r="T22" i="9"/>
  <c r="AV54" i="9"/>
  <c r="BC54" i="9"/>
  <c r="BG54" i="9"/>
  <c r="BA54" i="9"/>
  <c r="BE54" i="9"/>
  <c r="AY54" i="9"/>
  <c r="AK79" i="9"/>
  <c r="AE79" i="9"/>
  <c r="AM79" i="9"/>
  <c r="AI79" i="9"/>
  <c r="AB79" i="9"/>
  <c r="AG79" i="9"/>
  <c r="I49" i="11"/>
  <c r="BB68" i="11"/>
  <c r="BJ68" i="11"/>
  <c r="BH68" i="11"/>
  <c r="BF68" i="11"/>
  <c r="BD68" i="11"/>
  <c r="BI58" i="11"/>
  <c r="BA58" i="11"/>
  <c r="BG58" i="11"/>
  <c r="BC58" i="11"/>
  <c r="AX58" i="11"/>
  <c r="BE58" i="11"/>
  <c r="AZ45" i="11"/>
  <c r="AJ73" i="11"/>
  <c r="AP73" i="11"/>
  <c r="AH73" i="11"/>
  <c r="AL73" i="11"/>
  <c r="AN73" i="11"/>
  <c r="AE73" i="11"/>
  <c r="AM145" i="11"/>
  <c r="AI145" i="11"/>
  <c r="AK145" i="11"/>
  <c r="AO145" i="11"/>
  <c r="AG145" i="11"/>
  <c r="AC145" i="11"/>
  <c r="AE114" i="11"/>
  <c r="AL114" i="11"/>
  <c r="AP114" i="11"/>
  <c r="AN114" i="11"/>
  <c r="AJ114" i="11"/>
  <c r="AH114" i="11"/>
  <c r="AM138" i="9"/>
  <c r="AB138" i="9"/>
  <c r="AI138" i="9"/>
  <c r="AK138" i="9"/>
  <c r="AG138" i="9"/>
  <c r="AE138" i="9"/>
  <c r="BF75" i="9"/>
  <c r="BB75" i="9"/>
  <c r="BH75" i="9"/>
  <c r="BD75" i="9"/>
  <c r="AZ75" i="9"/>
  <c r="AG100" i="11"/>
  <c r="AK100" i="11"/>
  <c r="AO100" i="11"/>
  <c r="AC100" i="11"/>
  <c r="AM100" i="11"/>
  <c r="AI100" i="11"/>
  <c r="AC75" i="9"/>
  <c r="BE80" i="11"/>
  <c r="BC80" i="11"/>
  <c r="BA80" i="11"/>
  <c r="AX80" i="11"/>
  <c r="BI80" i="11"/>
  <c r="BG80" i="11"/>
  <c r="AW50" i="9"/>
  <c r="AE148" i="11"/>
  <c r="AL148" i="11"/>
  <c r="AP148" i="11"/>
  <c r="AH148" i="11"/>
  <c r="AJ148" i="11"/>
  <c r="AN148" i="11"/>
  <c r="AJ112" i="9"/>
  <c r="AL112" i="9"/>
  <c r="AH112" i="9"/>
  <c r="AN112" i="9"/>
  <c r="AF112" i="9"/>
  <c r="I50" i="9"/>
  <c r="I50" i="11"/>
  <c r="AK115" i="9"/>
  <c r="AB115" i="9"/>
  <c r="AI115" i="9"/>
  <c r="AG115" i="9"/>
  <c r="AM115" i="9"/>
  <c r="AE115" i="9"/>
  <c r="AK118" i="9"/>
  <c r="AB118" i="9"/>
  <c r="AI118" i="9"/>
  <c r="AG118" i="9"/>
  <c r="AM118" i="9"/>
  <c r="AE118" i="9"/>
  <c r="AK55" i="11"/>
  <c r="AC55" i="11"/>
  <c r="AD55" i="11" s="1"/>
  <c r="AM55" i="11"/>
  <c r="AI55" i="11"/>
  <c r="AG55" i="11"/>
  <c r="AO55" i="11"/>
  <c r="AM69" i="11"/>
  <c r="AC69" i="11"/>
  <c r="AO69" i="11"/>
  <c r="AK69" i="11"/>
  <c r="AG69" i="11"/>
  <c r="AI69" i="11"/>
  <c r="AU30" i="9"/>
  <c r="AT30" i="9"/>
  <c r="BD55" i="11"/>
  <c r="BJ55" i="11"/>
  <c r="BB55" i="11"/>
  <c r="BH55" i="11"/>
  <c r="BF55" i="11"/>
  <c r="AL135" i="11"/>
  <c r="AJ135" i="11"/>
  <c r="AE135" i="11"/>
  <c r="AP135" i="11"/>
  <c r="AN135" i="11"/>
  <c r="AH135" i="11"/>
  <c r="AJ112" i="11"/>
  <c r="AN112" i="11"/>
  <c r="AL112" i="11"/>
  <c r="AH112" i="11"/>
  <c r="AE112" i="11"/>
  <c r="AP112" i="11"/>
  <c r="AL93" i="11"/>
  <c r="AN93" i="11"/>
  <c r="AE93" i="11"/>
  <c r="AH93" i="11"/>
  <c r="AP93" i="11"/>
  <c r="AJ93" i="11"/>
  <c r="BC79" i="11"/>
  <c r="BG79" i="11"/>
  <c r="AX79" i="11"/>
  <c r="BE79" i="11"/>
  <c r="BA79" i="11"/>
  <c r="BI79" i="11"/>
  <c r="AH130" i="9"/>
  <c r="AN130" i="9"/>
  <c r="AF130" i="9"/>
  <c r="AL130" i="9"/>
  <c r="AJ130" i="9"/>
  <c r="AN120" i="9"/>
  <c r="AF120" i="9"/>
  <c r="AJ120" i="9"/>
  <c r="AH120" i="9"/>
  <c r="AL120" i="9"/>
  <c r="O26" i="9"/>
  <c r="M26" i="9"/>
  <c r="S26" i="9"/>
  <c r="K26" i="9"/>
  <c r="Q26" i="9"/>
  <c r="AI57" i="11"/>
  <c r="AO57" i="11"/>
  <c r="AC57" i="11"/>
  <c r="AD57" i="11" s="1"/>
  <c r="AM57" i="11"/>
  <c r="AK57" i="11"/>
  <c r="AG57" i="11"/>
  <c r="AI139" i="9"/>
  <c r="AG139" i="9"/>
  <c r="AE139" i="9"/>
  <c r="AB139" i="9"/>
  <c r="AM139" i="9"/>
  <c r="AK139" i="9"/>
  <c r="AJ98" i="9"/>
  <c r="AN98" i="9"/>
  <c r="AH98" i="9"/>
  <c r="AL98" i="9"/>
  <c r="AF98" i="9"/>
  <c r="AN119" i="11"/>
  <c r="AJ119" i="11"/>
  <c r="AP119" i="11"/>
  <c r="AL119" i="11"/>
  <c r="AE119" i="11"/>
  <c r="AH119" i="11"/>
  <c r="BI52" i="11"/>
  <c r="BA52" i="11"/>
  <c r="BG52" i="11"/>
  <c r="BE52" i="11"/>
  <c r="BC52" i="11"/>
  <c r="AX52" i="11"/>
  <c r="J48" i="9"/>
  <c r="BA74" i="9"/>
  <c r="BG74" i="9"/>
  <c r="BE74" i="9"/>
  <c r="AV74" i="9"/>
  <c r="BC74" i="9"/>
  <c r="AY74" i="9"/>
  <c r="AL55" i="11"/>
  <c r="AJ55" i="11"/>
  <c r="AP55" i="11"/>
  <c r="AH55" i="11"/>
  <c r="AE55" i="11"/>
  <c r="AF55" i="11" s="1"/>
  <c r="AN55" i="11"/>
  <c r="AW19" i="11"/>
  <c r="AV19" i="11"/>
  <c r="AM134" i="9"/>
  <c r="AB134" i="9"/>
  <c r="AK134" i="9"/>
  <c r="AI134" i="9"/>
  <c r="AG134" i="9"/>
  <c r="AE134" i="9"/>
  <c r="AL98" i="11"/>
  <c r="AH98" i="11"/>
  <c r="AP98" i="11"/>
  <c r="AN98" i="11"/>
  <c r="AE98" i="11"/>
  <c r="AJ98" i="11"/>
  <c r="AZ79" i="9"/>
  <c r="BH79" i="9"/>
  <c r="BF79" i="9"/>
  <c r="BD79" i="9"/>
  <c r="BB79" i="9"/>
  <c r="AN113" i="11"/>
  <c r="AJ113" i="11"/>
  <c r="AH113" i="11"/>
  <c r="AE113" i="11"/>
  <c r="AL113" i="11"/>
  <c r="AP113" i="11"/>
  <c r="AD53" i="9"/>
  <c r="AK113" i="9"/>
  <c r="AB113" i="9"/>
  <c r="AI113" i="9"/>
  <c r="AG113" i="9"/>
  <c r="AM113" i="9"/>
  <c r="AE113" i="9"/>
  <c r="AZ80" i="9"/>
  <c r="BH80" i="9"/>
  <c r="BF80" i="9"/>
  <c r="BD80" i="9"/>
  <c r="BB80" i="9"/>
  <c r="Q30" i="11"/>
  <c r="O30" i="11"/>
  <c r="S30" i="11"/>
  <c r="M30" i="11"/>
  <c r="U30" i="11"/>
  <c r="AK121" i="11"/>
  <c r="AC121" i="11"/>
  <c r="AO121" i="11"/>
  <c r="AG121" i="11"/>
  <c r="AM121" i="11"/>
  <c r="AI121" i="11"/>
  <c r="BH66" i="11"/>
  <c r="BF66" i="11"/>
  <c r="BD66" i="11"/>
  <c r="BB66" i="11"/>
  <c r="BJ66" i="11"/>
  <c r="AN148" i="9"/>
  <c r="AF148" i="9"/>
  <c r="AL148" i="9"/>
  <c r="AJ148" i="9"/>
  <c r="AH148" i="9"/>
  <c r="AI89" i="9"/>
  <c r="AG89" i="9"/>
  <c r="AM89" i="9"/>
  <c r="AB89" i="9"/>
  <c r="AK89" i="9"/>
  <c r="AE89" i="9"/>
  <c r="J55" i="9"/>
  <c r="L80" i="9"/>
  <c r="T80" i="9"/>
  <c r="P80" i="9"/>
  <c r="R80" i="9"/>
  <c r="N80" i="9"/>
  <c r="AD52" i="9"/>
  <c r="BE83" i="9"/>
  <c r="BA83" i="9"/>
  <c r="BG83" i="9"/>
  <c r="AY83" i="9"/>
  <c r="AV83" i="9"/>
  <c r="BC83" i="9"/>
  <c r="AX55" i="9"/>
  <c r="AL149" i="9"/>
  <c r="AJ149" i="9"/>
  <c r="AH149" i="9"/>
  <c r="AF149" i="9"/>
  <c r="AN149" i="9"/>
  <c r="Q19" i="9"/>
  <c r="O19" i="9"/>
  <c r="M19" i="9"/>
  <c r="S19" i="9"/>
  <c r="K19" i="9"/>
  <c r="AM59" i="9"/>
  <c r="AE59" i="9"/>
  <c r="AB59" i="9"/>
  <c r="AI59" i="9"/>
  <c r="AG59" i="9"/>
  <c r="AK59" i="9"/>
  <c r="AM76" i="11"/>
  <c r="AK76" i="11"/>
  <c r="AC76" i="11"/>
  <c r="AO76" i="11"/>
  <c r="AI76" i="11"/>
  <c r="AG76" i="11"/>
  <c r="AW20" i="11"/>
  <c r="AV20" i="11"/>
  <c r="I48" i="9"/>
  <c r="I49" i="9"/>
  <c r="AN144" i="9"/>
  <c r="AF144" i="9"/>
  <c r="AL144" i="9"/>
  <c r="AJ144" i="9"/>
  <c r="AH144" i="9"/>
  <c r="AK110" i="9"/>
  <c r="AB110" i="9"/>
  <c r="AI110" i="9"/>
  <c r="AG110" i="9"/>
  <c r="AM110" i="9"/>
  <c r="AE110" i="9"/>
  <c r="AA23" i="9"/>
  <c r="Z23" i="9"/>
  <c r="BE65" i="11"/>
  <c r="BC65" i="11"/>
  <c r="BA65" i="11"/>
  <c r="AX65" i="11"/>
  <c r="BI65" i="11"/>
  <c r="BG65" i="11"/>
  <c r="AU21" i="9"/>
  <c r="AT21" i="9"/>
  <c r="AN44" i="9"/>
  <c r="AF44" i="9"/>
  <c r="AL44" i="9"/>
  <c r="AH44" i="9"/>
  <c r="AJ44" i="9"/>
  <c r="J31" i="9"/>
  <c r="AK117" i="9"/>
  <c r="AB117" i="9"/>
  <c r="AI117" i="9"/>
  <c r="AG117" i="9"/>
  <c r="AM117" i="9"/>
  <c r="AE117" i="9"/>
  <c r="BA78" i="9"/>
  <c r="AY78" i="9"/>
  <c r="BG78" i="9"/>
  <c r="BE78" i="9"/>
  <c r="AV78" i="9"/>
  <c r="BC78" i="9"/>
  <c r="BD54" i="9"/>
  <c r="BB54" i="9"/>
  <c r="BH54" i="9"/>
  <c r="AZ54" i="9"/>
  <c r="BF54" i="9"/>
  <c r="AC35" i="11"/>
  <c r="AD35" i="11" s="1"/>
  <c r="AO35" i="11"/>
  <c r="AM35" i="11"/>
  <c r="AK35" i="11"/>
  <c r="AI35" i="11"/>
  <c r="AG35" i="11"/>
  <c r="I59" i="11"/>
  <c r="AW68" i="9"/>
  <c r="BA72" i="9"/>
  <c r="BC72" i="9"/>
  <c r="AY72" i="9"/>
  <c r="AV72" i="9"/>
  <c r="BE72" i="9"/>
  <c r="BG72" i="9"/>
  <c r="AC58" i="9"/>
  <c r="J72" i="9"/>
  <c r="BB83" i="9"/>
  <c r="AZ83" i="9"/>
  <c r="BH83" i="9"/>
  <c r="BF83" i="9"/>
  <c r="BD83" i="9"/>
  <c r="AH96" i="11"/>
  <c r="AN96" i="11"/>
  <c r="AJ96" i="11"/>
  <c r="AL96" i="11"/>
  <c r="AP96" i="11"/>
  <c r="AE96" i="11"/>
  <c r="BA45" i="9"/>
  <c r="AY45" i="9"/>
  <c r="BG45" i="9"/>
  <c r="AV45" i="9"/>
  <c r="BE45" i="9"/>
  <c r="BC45" i="9"/>
  <c r="BF69" i="11"/>
  <c r="BD69" i="11"/>
  <c r="BJ69" i="11"/>
  <c r="BH69" i="11"/>
  <c r="BB69" i="11"/>
  <c r="BB50" i="11"/>
  <c r="BF50" i="11"/>
  <c r="BD50" i="11"/>
  <c r="BJ50" i="11"/>
  <c r="BH50" i="11"/>
  <c r="AL79" i="11"/>
  <c r="AJ79" i="11"/>
  <c r="AH79" i="11"/>
  <c r="AP79" i="11"/>
  <c r="AN79" i="11"/>
  <c r="AE79" i="11"/>
  <c r="AJ149" i="11"/>
  <c r="AP149" i="11"/>
  <c r="AH149" i="11"/>
  <c r="AE149" i="11"/>
  <c r="AN149" i="11"/>
  <c r="AL149" i="11"/>
  <c r="AK116" i="9"/>
  <c r="AB116" i="9"/>
  <c r="AI116" i="9"/>
  <c r="AG116" i="9"/>
  <c r="AE116" i="9"/>
  <c r="AM116" i="9"/>
  <c r="AH56" i="9"/>
  <c r="AN56" i="9"/>
  <c r="AF56" i="9"/>
  <c r="AL56" i="9"/>
  <c r="AJ56" i="9"/>
  <c r="N20" i="11"/>
  <c r="T20" i="11"/>
  <c r="R20" i="11"/>
  <c r="L20" i="11"/>
  <c r="P20" i="11"/>
  <c r="BD81" i="11"/>
  <c r="BH81" i="11"/>
  <c r="BF81" i="11"/>
  <c r="BB81" i="11"/>
  <c r="BJ81" i="11"/>
  <c r="AE48" i="11"/>
  <c r="AF48" i="11" s="1"/>
  <c r="AN48" i="11"/>
  <c r="AJ48" i="11"/>
  <c r="AP48" i="11"/>
  <c r="AL48" i="11"/>
  <c r="AH48" i="11"/>
  <c r="AK149" i="9"/>
  <c r="AB149" i="9"/>
  <c r="AE149" i="9"/>
  <c r="AM149" i="9"/>
  <c r="AI149" i="9"/>
  <c r="AG149" i="9"/>
  <c r="AI91" i="11"/>
  <c r="AG91" i="11"/>
  <c r="AM91" i="11"/>
  <c r="AK91" i="11"/>
  <c r="AO91" i="11"/>
  <c r="AC91" i="11"/>
  <c r="AG60" i="9"/>
  <c r="AM60" i="9"/>
  <c r="AK60" i="9"/>
  <c r="AI60" i="9"/>
  <c r="AB60" i="9"/>
  <c r="AE60" i="9"/>
  <c r="R28" i="9"/>
  <c r="N28" i="9"/>
  <c r="T28" i="9"/>
  <c r="L28" i="9"/>
  <c r="P28" i="9"/>
  <c r="AN130" i="11"/>
  <c r="AJ130" i="11"/>
  <c r="AE130" i="11"/>
  <c r="AP130" i="11"/>
  <c r="AL130" i="11"/>
  <c r="AH130" i="11"/>
  <c r="AB136" i="9"/>
  <c r="AG136" i="9"/>
  <c r="AM136" i="9"/>
  <c r="AI136" i="9"/>
  <c r="AK136" i="9"/>
  <c r="AE136" i="9"/>
  <c r="AK143" i="11"/>
  <c r="AC143" i="11"/>
  <c r="AO143" i="11"/>
  <c r="AG143" i="11"/>
  <c r="AI143" i="11"/>
  <c r="AM143" i="11"/>
  <c r="AC114" i="9"/>
  <c r="AB146" i="9"/>
  <c r="AM146" i="9"/>
  <c r="AI146" i="9"/>
  <c r="AG146" i="9"/>
  <c r="AK146" i="9"/>
  <c r="AE146" i="9"/>
  <c r="AZ77" i="9"/>
  <c r="BH77" i="9"/>
  <c r="BF77" i="9"/>
  <c r="BD77" i="9"/>
  <c r="BB77" i="9"/>
  <c r="P19" i="9"/>
  <c r="R19" i="9"/>
  <c r="T19" i="9"/>
  <c r="N19" i="9"/>
  <c r="L19" i="9"/>
  <c r="AO90" i="11"/>
  <c r="AG90" i="11"/>
  <c r="AM90" i="11"/>
  <c r="AK90" i="11"/>
  <c r="AI90" i="11"/>
  <c r="AC90" i="11"/>
  <c r="AG48" i="9"/>
  <c r="AE48" i="9"/>
  <c r="AM48" i="9"/>
  <c r="AB48" i="9"/>
  <c r="AI48" i="9"/>
  <c r="AK48" i="9"/>
  <c r="AN59" i="9"/>
  <c r="AF59" i="9"/>
  <c r="AL59" i="9"/>
  <c r="AJ59" i="9"/>
  <c r="AH59" i="9"/>
  <c r="BH71" i="11"/>
  <c r="BF71" i="11"/>
  <c r="BD71" i="11"/>
  <c r="BB71" i="11"/>
  <c r="BJ71" i="11"/>
  <c r="BD56" i="11"/>
  <c r="BF56" i="11"/>
  <c r="BB56" i="11"/>
  <c r="BJ56" i="11"/>
  <c r="BH56" i="11"/>
  <c r="U33" i="11"/>
  <c r="S33" i="11"/>
  <c r="Q33" i="11"/>
  <c r="O33" i="11"/>
  <c r="M33" i="11"/>
  <c r="AE76" i="11"/>
  <c r="AN76" i="11"/>
  <c r="AL76" i="11"/>
  <c r="AJ76" i="11"/>
  <c r="AH76" i="11"/>
  <c r="AP76" i="11"/>
  <c r="AP147" i="11"/>
  <c r="AH147" i="11"/>
  <c r="AN147" i="11"/>
  <c r="AJ147" i="11"/>
  <c r="AE147" i="11"/>
  <c r="AL147" i="11"/>
  <c r="I73" i="11"/>
  <c r="I34" i="9"/>
  <c r="AB137" i="9"/>
  <c r="AK137" i="9"/>
  <c r="AI137" i="9"/>
  <c r="AM137" i="9"/>
  <c r="AG137" i="9"/>
  <c r="AE137" i="9"/>
  <c r="BB72" i="11"/>
  <c r="BJ72" i="11"/>
  <c r="BF72" i="11"/>
  <c r="BH72" i="11"/>
  <c r="BD72" i="11"/>
  <c r="AI64" i="11"/>
  <c r="AG64" i="11"/>
  <c r="AO64" i="11"/>
  <c r="AM64" i="11"/>
  <c r="AK64" i="11"/>
  <c r="AC64" i="11"/>
  <c r="BI53" i="11"/>
  <c r="BA53" i="11"/>
  <c r="AX53" i="11"/>
  <c r="BG53" i="11"/>
  <c r="BE53" i="11"/>
  <c r="BC53" i="11"/>
  <c r="AM92" i="11"/>
  <c r="AK92" i="11"/>
  <c r="AI92" i="11"/>
  <c r="AO92" i="11"/>
  <c r="AG92" i="11"/>
  <c r="AC92" i="11"/>
  <c r="AX57" i="11"/>
  <c r="BC57" i="11"/>
  <c r="BI57" i="11"/>
  <c r="BG57" i="11"/>
  <c r="BE57" i="11"/>
  <c r="BA57" i="11"/>
  <c r="AV21" i="11"/>
  <c r="AW21" i="11"/>
  <c r="AW29" i="11"/>
  <c r="AV29" i="11"/>
  <c r="AH58" i="11"/>
  <c r="AP58" i="11"/>
  <c r="AL58" i="11"/>
  <c r="AJ58" i="11"/>
  <c r="AN58" i="11"/>
  <c r="AE58" i="11"/>
  <c r="AF58" i="11" s="1"/>
  <c r="BD75" i="11"/>
  <c r="BJ75" i="11"/>
  <c r="BB75" i="11"/>
  <c r="BH75" i="11"/>
  <c r="BF75" i="11"/>
  <c r="AK32" i="11"/>
  <c r="AC32" i="11"/>
  <c r="AD32" i="11" s="1"/>
  <c r="AI32" i="11"/>
  <c r="AG32" i="11"/>
  <c r="AO32" i="11"/>
  <c r="AM32" i="11"/>
  <c r="AD72" i="9"/>
  <c r="AB150" i="9"/>
  <c r="AI150" i="9"/>
  <c r="AM150" i="9"/>
  <c r="AK150" i="9"/>
  <c r="AG150" i="9"/>
  <c r="AE150" i="9"/>
  <c r="AJ110" i="9"/>
  <c r="AN110" i="9"/>
  <c r="AH110" i="9"/>
  <c r="AL110" i="9"/>
  <c r="AF110" i="9"/>
  <c r="AZ85" i="9"/>
  <c r="BH85" i="9"/>
  <c r="BD85" i="9"/>
  <c r="BF85" i="9"/>
  <c r="BB85" i="9"/>
  <c r="AK104" i="9"/>
  <c r="AB104" i="9"/>
  <c r="AI104" i="9"/>
  <c r="AG104" i="9"/>
  <c r="AE104" i="9"/>
  <c r="AM104" i="9"/>
  <c r="AM104" i="11"/>
  <c r="AO104" i="11"/>
  <c r="AC104" i="11"/>
  <c r="AK104" i="11"/>
  <c r="AI104" i="11"/>
  <c r="AG104" i="11"/>
  <c r="Z33" i="9"/>
  <c r="AA33" i="9"/>
  <c r="AA27" i="9"/>
  <c r="Z27" i="9"/>
  <c r="AF80" i="9"/>
  <c r="AN80" i="9"/>
  <c r="AL80" i="9"/>
  <c r="AJ80" i="9"/>
  <c r="AH80" i="9"/>
  <c r="BB65" i="11"/>
  <c r="BJ65" i="11"/>
  <c r="BH65" i="11"/>
  <c r="BD65" i="11"/>
  <c r="BF65" i="11"/>
  <c r="O28" i="11"/>
  <c r="U28" i="11"/>
  <c r="M28" i="11"/>
  <c r="S28" i="11"/>
  <c r="Q28" i="11"/>
  <c r="T26" i="11"/>
  <c r="R26" i="11"/>
  <c r="P26" i="11"/>
  <c r="L26" i="11"/>
  <c r="N26" i="11"/>
  <c r="I74" i="11"/>
  <c r="AL115" i="11"/>
  <c r="AN115" i="11"/>
  <c r="AE115" i="11"/>
  <c r="AP115" i="11"/>
  <c r="AJ115" i="11"/>
  <c r="AH115" i="11"/>
  <c r="AB122" i="9"/>
  <c r="AK122" i="9"/>
  <c r="AI122" i="9"/>
  <c r="AM122" i="9"/>
  <c r="AG122" i="9"/>
  <c r="AE122" i="9"/>
  <c r="AT32" i="9"/>
  <c r="AU32" i="9"/>
  <c r="AU29" i="9"/>
  <c r="AT29" i="9"/>
  <c r="AT37" i="9"/>
  <c r="AU37" i="9"/>
  <c r="AL80" i="11"/>
  <c r="AJ80" i="11"/>
  <c r="AP80" i="11"/>
  <c r="AE80" i="11"/>
  <c r="AN80" i="11"/>
  <c r="AH80" i="11"/>
  <c r="AO124" i="11"/>
  <c r="AG124" i="11"/>
  <c r="AM124" i="11"/>
  <c r="AK124" i="11"/>
  <c r="AC124" i="11"/>
  <c r="AI124" i="11"/>
  <c r="M21" i="9"/>
  <c r="S21" i="9"/>
  <c r="K21" i="9"/>
  <c r="Q21" i="9"/>
  <c r="O21" i="9"/>
  <c r="AO150" i="11"/>
  <c r="AG150" i="11"/>
  <c r="AM150" i="11"/>
  <c r="AI150" i="11"/>
  <c r="AK150" i="11"/>
  <c r="AC150" i="11"/>
  <c r="BE70" i="9"/>
  <c r="AV70" i="9"/>
  <c r="BG70" i="9"/>
  <c r="BC70" i="9"/>
  <c r="BA70" i="9"/>
  <c r="AY70" i="9"/>
  <c r="AM70" i="9"/>
  <c r="AE70" i="9"/>
  <c r="AB70" i="9"/>
  <c r="AK70" i="9"/>
  <c r="AI70" i="9"/>
  <c r="AG70" i="9"/>
  <c r="AO142" i="11"/>
  <c r="AG142" i="11"/>
  <c r="AM142" i="11"/>
  <c r="AI142" i="11"/>
  <c r="AK142" i="11"/>
  <c r="AC142" i="11"/>
  <c r="AJ117" i="9"/>
  <c r="AL117" i="9"/>
  <c r="AH117" i="9"/>
  <c r="AF117" i="9"/>
  <c r="AN117" i="9"/>
  <c r="AZ78" i="9"/>
  <c r="BH78" i="9"/>
  <c r="BF78" i="9"/>
  <c r="BD78" i="9"/>
  <c r="BB78" i="9"/>
  <c r="AM105" i="11"/>
  <c r="AO105" i="11"/>
  <c r="AK105" i="11"/>
  <c r="AI105" i="11"/>
  <c r="AG105" i="11"/>
  <c r="AC105" i="11"/>
  <c r="BH56" i="9"/>
  <c r="AZ56" i="9"/>
  <c r="BF56" i="9"/>
  <c r="BD56" i="9"/>
  <c r="BB56" i="9"/>
  <c r="S20" i="9"/>
  <c r="K20" i="9"/>
  <c r="Q20" i="9"/>
  <c r="O20" i="9"/>
  <c r="M20" i="9"/>
  <c r="BG85" i="11"/>
  <c r="AX85" i="11"/>
  <c r="BC85" i="11"/>
  <c r="BI85" i="11"/>
  <c r="BE85" i="11"/>
  <c r="BA85" i="11"/>
  <c r="BI49" i="11"/>
  <c r="AX49" i="11"/>
  <c r="BG49" i="11"/>
  <c r="BC49" i="11"/>
  <c r="BA49" i="11"/>
  <c r="BE49" i="11"/>
  <c r="AP35" i="11"/>
  <c r="AH35" i="11"/>
  <c r="AN35" i="11"/>
  <c r="AL35" i="11"/>
  <c r="AJ35" i="11"/>
  <c r="AE35" i="11"/>
  <c r="AF35" i="11" s="1"/>
  <c r="AJ146" i="11"/>
  <c r="AN146" i="11"/>
  <c r="AH146" i="11"/>
  <c r="AP146" i="11"/>
  <c r="AL146" i="11"/>
  <c r="AE146" i="11"/>
  <c r="I65" i="11"/>
  <c r="AD49" i="9"/>
  <c r="AJ100" i="9"/>
  <c r="AL100" i="9"/>
  <c r="AH100" i="9"/>
  <c r="AN100" i="9"/>
  <c r="AF100" i="9"/>
  <c r="AE97" i="11"/>
  <c r="AN97" i="11"/>
  <c r="AL97" i="11"/>
  <c r="AJ97" i="11"/>
  <c r="AH97" i="11"/>
  <c r="AP97" i="11"/>
  <c r="I64" i="11"/>
  <c r="AX51" i="11"/>
  <c r="BI51" i="11"/>
  <c r="BG51" i="11"/>
  <c r="BC51" i="11"/>
  <c r="BE51" i="11"/>
  <c r="BA51" i="11"/>
  <c r="AL60" i="11"/>
  <c r="AJ60" i="11"/>
  <c r="AN60" i="11"/>
  <c r="AH60" i="11"/>
  <c r="AP60" i="11"/>
  <c r="AE60" i="11"/>
  <c r="AF60" i="11" s="1"/>
  <c r="BG67" i="9"/>
  <c r="AY67" i="9"/>
  <c r="AV67" i="9"/>
  <c r="BE67" i="9"/>
  <c r="BC67" i="9"/>
  <c r="BA67" i="9"/>
  <c r="J66" i="9"/>
  <c r="BI73" i="11"/>
  <c r="AX73" i="11"/>
  <c r="BG73" i="11"/>
  <c r="BE73" i="11"/>
  <c r="BA73" i="11"/>
  <c r="BC73" i="11"/>
  <c r="AP51" i="11"/>
  <c r="AH51" i="11"/>
  <c r="AN51" i="11"/>
  <c r="AL51" i="11"/>
  <c r="AE51" i="11"/>
  <c r="AF51" i="11" s="1"/>
  <c r="AJ51" i="11"/>
  <c r="AK98" i="9"/>
  <c r="AB98" i="9"/>
  <c r="AI98" i="9"/>
  <c r="AG98" i="9"/>
  <c r="AM98" i="9"/>
  <c r="AE98" i="9"/>
  <c r="AK69" i="9"/>
  <c r="AB69" i="9"/>
  <c r="AM69" i="9"/>
  <c r="AI69" i="9"/>
  <c r="AG69" i="9"/>
  <c r="AE69" i="9"/>
  <c r="AK119" i="11"/>
  <c r="AO119" i="11"/>
  <c r="AC119" i="11"/>
  <c r="AM119" i="11"/>
  <c r="AI119" i="11"/>
  <c r="AG119" i="11"/>
  <c r="BF66" i="9"/>
  <c r="BD66" i="9"/>
  <c r="BB66" i="9"/>
  <c r="AZ66" i="9"/>
  <c r="BH66" i="9"/>
  <c r="N19" i="11"/>
  <c r="T19" i="11"/>
  <c r="L19" i="11"/>
  <c r="R19" i="11"/>
  <c r="P19" i="11"/>
  <c r="AM123" i="11"/>
  <c r="AI123" i="11"/>
  <c r="AK123" i="11"/>
  <c r="AG123" i="11"/>
  <c r="AC123" i="11"/>
  <c r="AO123" i="11"/>
  <c r="AN103" i="11"/>
  <c r="AH103" i="11"/>
  <c r="AP103" i="11"/>
  <c r="AL103" i="11"/>
  <c r="AE103" i="11"/>
  <c r="AJ103" i="11"/>
  <c r="AI78" i="9"/>
  <c r="AE78" i="9"/>
  <c r="AM78" i="9"/>
  <c r="AK78" i="9"/>
  <c r="AB78" i="9"/>
  <c r="AG78" i="9"/>
  <c r="AM137" i="11"/>
  <c r="AI137" i="11"/>
  <c r="AK137" i="11"/>
  <c r="AC137" i="11"/>
  <c r="AG137" i="11"/>
  <c r="AO137" i="11"/>
  <c r="AJ111" i="9"/>
  <c r="AF111" i="9"/>
  <c r="AN111" i="9"/>
  <c r="AL111" i="9"/>
  <c r="AH111" i="9"/>
  <c r="AW31" i="11"/>
  <c r="AV31" i="11"/>
  <c r="AM49" i="11"/>
  <c r="AK49" i="11"/>
  <c r="AI49" i="11"/>
  <c r="AG49" i="11"/>
  <c r="AO49" i="11"/>
  <c r="AC49" i="11"/>
  <c r="AD49" i="11" s="1"/>
  <c r="AH134" i="9"/>
  <c r="AN134" i="9"/>
  <c r="AF134" i="9"/>
  <c r="AL134" i="9"/>
  <c r="AJ134" i="9"/>
  <c r="AK98" i="11"/>
  <c r="AO98" i="11"/>
  <c r="AM98" i="11"/>
  <c r="AI98" i="11"/>
  <c r="AC98" i="11"/>
  <c r="AG98" i="11"/>
  <c r="AA28" i="9"/>
  <c r="Z28" i="9"/>
  <c r="BD83" i="11"/>
  <c r="BB83" i="11"/>
  <c r="BJ83" i="11"/>
  <c r="BH83" i="11"/>
  <c r="BF83" i="11"/>
  <c r="AP144" i="11"/>
  <c r="AH144" i="11"/>
  <c r="AL144" i="11"/>
  <c r="AE144" i="11"/>
  <c r="AN144" i="11"/>
  <c r="AJ144" i="11"/>
  <c r="AT34" i="9"/>
  <c r="AU34" i="9"/>
  <c r="BJ47" i="11"/>
  <c r="BB47" i="11"/>
  <c r="BH47" i="11"/>
  <c r="BD47" i="11"/>
  <c r="BF47" i="11"/>
  <c r="AJ117" i="11"/>
  <c r="AN117" i="11"/>
  <c r="AL117" i="11"/>
  <c r="AP117" i="11"/>
  <c r="AH117" i="11"/>
  <c r="AE117" i="11"/>
  <c r="AB140" i="9"/>
  <c r="AM140" i="9"/>
  <c r="AK140" i="9"/>
  <c r="AI140" i="9"/>
  <c r="AG140" i="9"/>
  <c r="AE140" i="9"/>
  <c r="AK111" i="11"/>
  <c r="AC111" i="11"/>
  <c r="AM111" i="11"/>
  <c r="AI111" i="11"/>
  <c r="AG111" i="11"/>
  <c r="AO111" i="11"/>
  <c r="BA57" i="9"/>
  <c r="BG57" i="9"/>
  <c r="BE57" i="9"/>
  <c r="BC57" i="9"/>
  <c r="AY57" i="9"/>
  <c r="AV57" i="9"/>
  <c r="BJ54" i="11"/>
  <c r="BB54" i="11"/>
  <c r="BH54" i="11"/>
  <c r="BD54" i="11"/>
  <c r="BF54" i="11"/>
  <c r="AM66" i="9"/>
  <c r="AE66" i="9"/>
  <c r="AB66" i="9"/>
  <c r="AK66" i="9"/>
  <c r="AI66" i="9"/>
  <c r="AG66" i="9"/>
  <c r="I70" i="11"/>
  <c r="J51" i="9"/>
  <c r="AL125" i="11"/>
  <c r="AE125" i="11"/>
  <c r="AP125" i="11"/>
  <c r="AN125" i="11"/>
  <c r="AH125" i="11"/>
  <c r="AJ125" i="11"/>
  <c r="AV24" i="11"/>
  <c r="AW24" i="11"/>
  <c r="AM132" i="11"/>
  <c r="AK132" i="11"/>
  <c r="AC132" i="11"/>
  <c r="AI132" i="11"/>
  <c r="AG132" i="11"/>
  <c r="AO132" i="11"/>
  <c r="AH147" i="9"/>
  <c r="AN147" i="9"/>
  <c r="AF147" i="9"/>
  <c r="AL147" i="9"/>
  <c r="AJ147" i="9"/>
  <c r="AA20" i="9"/>
  <c r="Z20" i="9"/>
  <c r="BC83" i="11"/>
  <c r="BA83" i="11"/>
  <c r="BE83" i="11"/>
  <c r="BI83" i="11"/>
  <c r="AX83" i="11"/>
  <c r="BG83" i="11"/>
  <c r="AN69" i="11"/>
  <c r="AL69" i="11"/>
  <c r="AJ69" i="11"/>
  <c r="AH69" i="11"/>
  <c r="AE69" i="11"/>
  <c r="AP69" i="11"/>
  <c r="AN76" i="9"/>
  <c r="AL76" i="9"/>
  <c r="AF76" i="9"/>
  <c r="AJ76" i="9"/>
  <c r="AH76" i="9"/>
  <c r="R68" i="11"/>
  <c r="P68" i="11"/>
  <c r="N68" i="11"/>
  <c r="L68" i="11"/>
  <c r="T68" i="11"/>
  <c r="BF79" i="11"/>
  <c r="BB79" i="11"/>
  <c r="BD79" i="11"/>
  <c r="BJ79" i="11"/>
  <c r="BH79" i="11"/>
  <c r="J78" i="9"/>
  <c r="I32" i="9"/>
  <c r="I47" i="9"/>
  <c r="AN66" i="9"/>
  <c r="AF66" i="9"/>
  <c r="AL66" i="9"/>
  <c r="AJ66" i="9"/>
  <c r="AH66" i="9"/>
  <c r="AO66" i="11"/>
  <c r="AM66" i="11"/>
  <c r="AK66" i="11"/>
  <c r="AI66" i="11"/>
  <c r="AG66" i="11"/>
  <c r="AC66" i="11"/>
  <c r="J47" i="9"/>
  <c r="AL118" i="11"/>
  <c r="AJ118" i="11"/>
  <c r="AH118" i="11"/>
  <c r="AP118" i="11"/>
  <c r="AE118" i="11"/>
  <c r="AN118" i="11"/>
  <c r="AG25" i="11"/>
  <c r="AO25" i="11"/>
  <c r="AK25" i="11"/>
  <c r="AM25" i="11"/>
  <c r="AI25" i="11"/>
  <c r="AC25" i="11"/>
  <c r="AD25" i="11" s="1"/>
  <c r="AK45" i="11"/>
  <c r="AG45" i="11"/>
  <c r="AM45" i="11"/>
  <c r="AI45" i="11"/>
  <c r="AC45" i="11"/>
  <c r="AD45" i="11" s="1"/>
  <c r="AO45" i="11"/>
  <c r="AL145" i="9"/>
  <c r="AJ145" i="9"/>
  <c r="AH145" i="9"/>
  <c r="AF145" i="9"/>
  <c r="AN145" i="9"/>
  <c r="AB133" i="9"/>
  <c r="AK133" i="9"/>
  <c r="AI133" i="9"/>
  <c r="AM133" i="9"/>
  <c r="AG133" i="9"/>
  <c r="AE133" i="9"/>
  <c r="T29" i="9"/>
  <c r="L29" i="9"/>
  <c r="P29" i="9"/>
  <c r="R29" i="9"/>
  <c r="N29" i="9"/>
  <c r="BJ67" i="11"/>
  <c r="BH67" i="11"/>
  <c r="BF67" i="11"/>
  <c r="BD67" i="11"/>
  <c r="BB67" i="11"/>
  <c r="BG50" i="11"/>
  <c r="BE50" i="11"/>
  <c r="BC50" i="11"/>
  <c r="BA50" i="11"/>
  <c r="BI50" i="11"/>
  <c r="AX50" i="11"/>
  <c r="AK79" i="11"/>
  <c r="AC79" i="11"/>
  <c r="AM79" i="11"/>
  <c r="AI79" i="11"/>
  <c r="AG79" i="11"/>
  <c r="AO79" i="11"/>
  <c r="AI149" i="11"/>
  <c r="AM149" i="11"/>
  <c r="AC149" i="11"/>
  <c r="AO149" i="11"/>
  <c r="AK149" i="11"/>
  <c r="AG149" i="11"/>
  <c r="S51" i="11"/>
  <c r="Q51" i="11"/>
  <c r="M51" i="11"/>
  <c r="O51" i="11"/>
  <c r="U51" i="11"/>
  <c r="O20" i="11"/>
  <c r="U20" i="11"/>
  <c r="M20" i="11"/>
  <c r="S20" i="11"/>
  <c r="Q20" i="11"/>
  <c r="AJ138" i="11"/>
  <c r="AN138" i="11"/>
  <c r="AH138" i="11"/>
  <c r="AE138" i="11"/>
  <c r="AL138" i="11"/>
  <c r="AP138" i="11"/>
  <c r="AH60" i="9"/>
  <c r="AN60" i="9"/>
  <c r="AF60" i="9"/>
  <c r="AL60" i="9"/>
  <c r="AJ60" i="9"/>
  <c r="AX68" i="9"/>
  <c r="AJ146" i="9"/>
  <c r="AH146" i="9"/>
  <c r="AN146" i="9"/>
  <c r="AF146" i="9"/>
  <c r="AL146" i="9"/>
  <c r="BG77" i="9"/>
  <c r="AY77" i="9"/>
  <c r="BA77" i="9"/>
  <c r="AV77" i="9"/>
  <c r="BE77" i="9"/>
  <c r="BC77" i="9"/>
  <c r="BE56" i="11"/>
  <c r="BC56" i="11"/>
  <c r="BI56" i="11"/>
  <c r="BA56" i="11"/>
  <c r="BG56" i="11"/>
  <c r="AX56" i="11"/>
  <c r="AO147" i="11"/>
  <c r="AG147" i="11"/>
  <c r="AK147" i="11"/>
  <c r="AC147" i="11"/>
  <c r="AI147" i="11"/>
  <c r="AM147" i="11"/>
  <c r="I78" i="11"/>
  <c r="AJ137" i="9"/>
  <c r="AH137" i="9"/>
  <c r="AL137" i="9"/>
  <c r="AF137" i="9"/>
  <c r="AN137" i="9"/>
  <c r="AN93" i="9"/>
  <c r="AJ93" i="9"/>
  <c r="AL93" i="9"/>
  <c r="AH93" i="9"/>
  <c r="AF93" i="9"/>
  <c r="BE84" i="11"/>
  <c r="BC84" i="11"/>
  <c r="BA84" i="11"/>
  <c r="BI84" i="11"/>
  <c r="BG84" i="11"/>
  <c r="AX84" i="11"/>
  <c r="AO58" i="11"/>
  <c r="AG58" i="11"/>
  <c r="AI58" i="11"/>
  <c r="AM58" i="11"/>
  <c r="AK58" i="11"/>
  <c r="AC58" i="11"/>
  <c r="AD58" i="11" s="1"/>
  <c r="I72" i="9"/>
  <c r="AD73" i="9"/>
  <c r="BE85" i="9"/>
  <c r="AY85" i="9"/>
  <c r="BG85" i="9"/>
  <c r="BC85" i="9"/>
  <c r="BA85" i="9"/>
  <c r="AV85" i="9"/>
  <c r="AN104" i="11"/>
  <c r="AE104" i="11"/>
  <c r="AJ104" i="11"/>
  <c r="AP104" i="11"/>
  <c r="AL104" i="11"/>
  <c r="AH104" i="11"/>
  <c r="AA29" i="9"/>
  <c r="Z29" i="9"/>
  <c r="AM80" i="9"/>
  <c r="AE80" i="9"/>
  <c r="AG80" i="9"/>
  <c r="AK80" i="9"/>
  <c r="AB80" i="9"/>
  <c r="AI80" i="9"/>
  <c r="BB48" i="11"/>
  <c r="BJ48" i="11"/>
  <c r="BH48" i="11"/>
  <c r="BF48" i="11"/>
  <c r="BD48" i="11"/>
  <c r="U26" i="11"/>
  <c r="M26" i="11"/>
  <c r="S26" i="11"/>
  <c r="Q26" i="11"/>
  <c r="O26" i="11"/>
  <c r="AU25" i="9"/>
  <c r="AT25" i="9"/>
  <c r="BF70" i="11"/>
  <c r="BD70" i="11"/>
  <c r="BJ70" i="11"/>
  <c r="BB70" i="11"/>
  <c r="BH70" i="11"/>
  <c r="BF70" i="9"/>
  <c r="BD70" i="9"/>
  <c r="BB70" i="9"/>
  <c r="BH70" i="9"/>
  <c r="AZ70" i="9"/>
  <c r="AI30" i="11"/>
  <c r="AO30" i="11"/>
  <c r="AG30" i="11"/>
  <c r="AM30" i="11"/>
  <c r="AC30" i="11"/>
  <c r="AD30" i="11" s="1"/>
  <c r="AK30" i="11"/>
  <c r="BG56" i="9"/>
  <c r="AY56" i="9"/>
  <c r="AV56" i="9"/>
  <c r="BA56" i="9"/>
  <c r="BC56" i="9"/>
  <c r="BE56" i="9"/>
  <c r="AF79" i="9"/>
  <c r="AN79" i="9"/>
  <c r="AJ79" i="9"/>
  <c r="AL79" i="9"/>
  <c r="AH79" i="9"/>
  <c r="BD85" i="11"/>
  <c r="BH85" i="11"/>
  <c r="BF85" i="11"/>
  <c r="BJ85" i="11"/>
  <c r="BB85" i="11"/>
  <c r="AK146" i="11"/>
  <c r="AC146" i="11"/>
  <c r="AI146" i="11"/>
  <c r="AO146" i="11"/>
  <c r="AM146" i="11"/>
  <c r="AG146" i="11"/>
  <c r="J58" i="9"/>
  <c r="T25" i="11"/>
  <c r="L25" i="11"/>
  <c r="R25" i="11"/>
  <c r="P25" i="11"/>
  <c r="N25" i="11"/>
  <c r="BH51" i="11"/>
  <c r="BF51" i="11"/>
  <c r="BD51" i="11"/>
  <c r="BJ51" i="11"/>
  <c r="BB51" i="11"/>
  <c r="AM148" i="11"/>
  <c r="AK148" i="11"/>
  <c r="AC148" i="11"/>
  <c r="AG148" i="11"/>
  <c r="AO148" i="11"/>
  <c r="AI148" i="11"/>
  <c r="BH67" i="9"/>
  <c r="AZ67" i="9"/>
  <c r="BF67" i="9"/>
  <c r="BD67" i="9"/>
  <c r="BB67" i="9"/>
  <c r="AI51" i="11"/>
  <c r="AG51" i="11"/>
  <c r="AO51" i="11"/>
  <c r="AM51" i="11"/>
  <c r="AK51" i="11"/>
  <c r="AC51" i="11"/>
  <c r="AD51" i="11" s="1"/>
  <c r="J53" i="9"/>
  <c r="AI125" i="9"/>
  <c r="AM125" i="9"/>
  <c r="AG125" i="9"/>
  <c r="AK125" i="9"/>
  <c r="AE125" i="9"/>
  <c r="AB125" i="9"/>
  <c r="I46" i="11"/>
  <c r="BH76" i="9"/>
  <c r="BF76" i="9"/>
  <c r="AZ76" i="9"/>
  <c r="BD76" i="9"/>
  <c r="BB76" i="9"/>
  <c r="AI96" i="11"/>
  <c r="AK96" i="11"/>
  <c r="AO96" i="11"/>
  <c r="AC96" i="11"/>
  <c r="AM96" i="11"/>
  <c r="AG96" i="11"/>
  <c r="BH45" i="9"/>
  <c r="AZ45" i="9"/>
  <c r="BF45" i="9"/>
  <c r="BB45" i="9"/>
  <c r="BD45" i="9"/>
  <c r="I79" i="9"/>
  <c r="AX69" i="11"/>
  <c r="BE69" i="11"/>
  <c r="BI69" i="11"/>
  <c r="BC69" i="11"/>
  <c r="BG69" i="11"/>
  <c r="BA69" i="11"/>
  <c r="AO28" i="11"/>
  <c r="AG28" i="11"/>
  <c r="AM28" i="11"/>
  <c r="AC28" i="11"/>
  <c r="AD28" i="11" s="1"/>
  <c r="AK28" i="11"/>
  <c r="AI28" i="11"/>
  <c r="K54" i="11"/>
  <c r="I47" i="11"/>
  <c r="K67" i="11"/>
  <c r="AE140" i="11"/>
  <c r="AL140" i="11"/>
  <c r="AP140" i="11"/>
  <c r="AH140" i="11"/>
  <c r="AN140" i="11"/>
  <c r="AJ140" i="11"/>
  <c r="AJ142" i="9"/>
  <c r="AH142" i="9"/>
  <c r="AN142" i="9"/>
  <c r="AF142" i="9"/>
  <c r="AL142" i="9"/>
  <c r="AJ116" i="9"/>
  <c r="AN116" i="9"/>
  <c r="AL116" i="9"/>
  <c r="AH116" i="9"/>
  <c r="AF116" i="9"/>
  <c r="BG60" i="9"/>
  <c r="AY60" i="9"/>
  <c r="AV60" i="9"/>
  <c r="BE60" i="9"/>
  <c r="BA60" i="9"/>
  <c r="BC60" i="9"/>
  <c r="AG56" i="9"/>
  <c r="AK56" i="9"/>
  <c r="AE56" i="9"/>
  <c r="AI56" i="9"/>
  <c r="AM56" i="9"/>
  <c r="AB56" i="9"/>
  <c r="AE26" i="11"/>
  <c r="AF26" i="11" s="1"/>
  <c r="AN26" i="11"/>
  <c r="AL26" i="11"/>
  <c r="AJ26" i="11"/>
  <c r="AP26" i="11"/>
  <c r="AH26" i="11"/>
  <c r="BG81" i="11"/>
  <c r="AX81" i="11"/>
  <c r="BC81" i="11"/>
  <c r="BE81" i="11"/>
  <c r="BA81" i="11"/>
  <c r="BI81" i="11"/>
  <c r="AK48" i="11"/>
  <c r="AC48" i="11"/>
  <c r="AD48" i="11" s="1"/>
  <c r="AI48" i="11"/>
  <c r="AO48" i="11"/>
  <c r="AM48" i="11"/>
  <c r="AG48" i="11"/>
  <c r="AI91" i="9"/>
  <c r="AE91" i="9"/>
  <c r="AM91" i="9"/>
  <c r="AK91" i="9"/>
  <c r="AB91" i="9"/>
  <c r="AG91" i="9"/>
  <c r="AN91" i="11"/>
  <c r="AP91" i="11"/>
  <c r="AL91" i="11"/>
  <c r="AH91" i="11"/>
  <c r="AE91" i="11"/>
  <c r="AJ91" i="11"/>
  <c r="J76" i="9"/>
  <c r="AK130" i="11"/>
  <c r="AC130" i="11"/>
  <c r="AI130" i="11"/>
  <c r="AG130" i="11"/>
  <c r="AO130" i="11"/>
  <c r="AM130" i="11"/>
  <c r="AL136" i="9"/>
  <c r="AJ136" i="9"/>
  <c r="AH136" i="9"/>
  <c r="AF136" i="9"/>
  <c r="AN136" i="9"/>
  <c r="I51" i="9"/>
  <c r="AP78" i="11"/>
  <c r="AH78" i="11"/>
  <c r="AE78" i="11"/>
  <c r="AN78" i="11"/>
  <c r="AL78" i="11"/>
  <c r="AJ78" i="11"/>
  <c r="AL143" i="11"/>
  <c r="AJ143" i="11"/>
  <c r="AE143" i="11"/>
  <c r="AP143" i="11"/>
  <c r="AN143" i="11"/>
  <c r="AH143" i="11"/>
  <c r="AN131" i="9"/>
  <c r="AF131" i="9"/>
  <c r="AL131" i="9"/>
  <c r="AJ131" i="9"/>
  <c r="AH131" i="9"/>
  <c r="AI124" i="9"/>
  <c r="AE124" i="9"/>
  <c r="AM124" i="9"/>
  <c r="AG124" i="9"/>
  <c r="AB124" i="9"/>
  <c r="AK124" i="9"/>
  <c r="BE81" i="9"/>
  <c r="BC81" i="9"/>
  <c r="AV81" i="9"/>
  <c r="BG81" i="9"/>
  <c r="BA81" i="9"/>
  <c r="AY81" i="9"/>
  <c r="AP90" i="11"/>
  <c r="AN90" i="11"/>
  <c r="AL90" i="11"/>
  <c r="AJ90" i="11"/>
  <c r="AE90" i="11"/>
  <c r="AH90" i="11"/>
  <c r="BF51" i="9"/>
  <c r="BD51" i="9"/>
  <c r="BB51" i="9"/>
  <c r="BH51" i="9"/>
  <c r="AZ51" i="9"/>
  <c r="AN48" i="9"/>
  <c r="AF48" i="9"/>
  <c r="AL48" i="9"/>
  <c r="AH48" i="9"/>
  <c r="AJ48" i="9"/>
  <c r="AX71" i="11"/>
  <c r="BC71" i="11"/>
  <c r="BG71" i="11"/>
  <c r="BI71" i="11"/>
  <c r="BA71" i="11"/>
  <c r="BE71" i="11"/>
  <c r="R23" i="11"/>
  <c r="P23" i="11"/>
  <c r="N23" i="11"/>
  <c r="T23" i="11"/>
  <c r="L23" i="11"/>
  <c r="AM65" i="11"/>
  <c r="AK65" i="11"/>
  <c r="AC65" i="11"/>
  <c r="AO65" i="11"/>
  <c r="AI65" i="11"/>
  <c r="AG65" i="11"/>
  <c r="AI141" i="11"/>
  <c r="AM141" i="11"/>
  <c r="AO141" i="11"/>
  <c r="AG141" i="11"/>
  <c r="AK141" i="11"/>
  <c r="AC141" i="11"/>
  <c r="K70" i="11"/>
  <c r="AC72" i="9"/>
  <c r="AV65" i="9"/>
  <c r="BC65" i="9"/>
  <c r="AY65" i="9"/>
  <c r="BG65" i="9"/>
  <c r="BA65" i="9"/>
  <c r="BE65" i="9"/>
  <c r="AD64" i="9"/>
  <c r="BI72" i="11"/>
  <c r="BA72" i="11"/>
  <c r="BG72" i="11"/>
  <c r="AX72" i="11"/>
  <c r="BC72" i="11"/>
  <c r="BE72" i="11"/>
  <c r="AL64" i="11"/>
  <c r="AJ64" i="11"/>
  <c r="AH64" i="11"/>
  <c r="AE64" i="11"/>
  <c r="AN64" i="11"/>
  <c r="AP64" i="11"/>
  <c r="I56" i="11"/>
  <c r="BJ53" i="11"/>
  <c r="BB53" i="11"/>
  <c r="BH53" i="11"/>
  <c r="BF53" i="11"/>
  <c r="BD53" i="11"/>
  <c r="J71" i="9"/>
  <c r="AE92" i="11"/>
  <c r="AL92" i="11"/>
  <c r="AJ92" i="11"/>
  <c r="AH92" i="11"/>
  <c r="AN92" i="11"/>
  <c r="AP92" i="11"/>
  <c r="BF57" i="11"/>
  <c r="BD57" i="11"/>
  <c r="BB57" i="11"/>
  <c r="BJ57" i="11"/>
  <c r="BH57" i="11"/>
  <c r="AV25" i="11"/>
  <c r="AW25" i="11"/>
  <c r="AV33" i="11"/>
  <c r="AW33" i="11"/>
  <c r="AN126" i="11"/>
  <c r="AL126" i="11"/>
  <c r="AJ126" i="11"/>
  <c r="AH126" i="11"/>
  <c r="AE126" i="11"/>
  <c r="AP126" i="11"/>
  <c r="AD46" i="9"/>
  <c r="BC75" i="11"/>
  <c r="BA75" i="11"/>
  <c r="AX75" i="11"/>
  <c r="BE75" i="11"/>
  <c r="BI75" i="11"/>
  <c r="BG75" i="11"/>
  <c r="AE67" i="11"/>
  <c r="AH67" i="11"/>
  <c r="AN67" i="11"/>
  <c r="AJ67" i="11"/>
  <c r="AP67" i="11"/>
  <c r="AL67" i="11"/>
  <c r="J35" i="9"/>
  <c r="AJ150" i="9"/>
  <c r="AH150" i="9"/>
  <c r="AN150" i="9"/>
  <c r="AF150" i="9"/>
  <c r="AL150" i="9"/>
  <c r="J45" i="9"/>
  <c r="BH82" i="9"/>
  <c r="BF82" i="9"/>
  <c r="BD82" i="9"/>
  <c r="BB82" i="9"/>
  <c r="AZ82" i="9"/>
  <c r="AJ104" i="9"/>
  <c r="AH104" i="9"/>
  <c r="AN104" i="9"/>
  <c r="AL104" i="9"/>
  <c r="AF104" i="9"/>
  <c r="AP102" i="11"/>
  <c r="AH102" i="11"/>
  <c r="AN102" i="11"/>
  <c r="AE102" i="11"/>
  <c r="AL102" i="11"/>
  <c r="AJ102" i="11"/>
  <c r="Z34" i="9"/>
  <c r="AA34" i="9"/>
  <c r="AA31" i="9"/>
  <c r="Z31" i="9"/>
  <c r="AM55" i="9"/>
  <c r="AE55" i="9"/>
  <c r="AB55" i="9"/>
  <c r="AG55" i="9"/>
  <c r="AI55" i="9"/>
  <c r="AK55" i="9"/>
  <c r="P21" i="11"/>
  <c r="N21" i="11"/>
  <c r="T21" i="11"/>
  <c r="L21" i="11"/>
  <c r="R21" i="11"/>
  <c r="AO139" i="11"/>
  <c r="AG139" i="11"/>
  <c r="AK139" i="11"/>
  <c r="AC139" i="11"/>
  <c r="AI139" i="11"/>
  <c r="AM139" i="11"/>
  <c r="AG47" i="11"/>
  <c r="AO47" i="11"/>
  <c r="AM47" i="11"/>
  <c r="AC47" i="11"/>
  <c r="AD47" i="11" s="1"/>
  <c r="AI47" i="11"/>
  <c r="AK47" i="11"/>
  <c r="AJ122" i="9"/>
  <c r="AH122" i="9"/>
  <c r="AF122" i="9"/>
  <c r="AN122" i="9"/>
  <c r="AL122" i="9"/>
  <c r="AT35" i="9"/>
  <c r="AU35" i="9"/>
  <c r="AU20" i="9"/>
  <c r="AT20" i="9"/>
  <c r="AU22" i="9"/>
  <c r="AT22" i="9"/>
  <c r="AL124" i="11"/>
  <c r="AJ124" i="11"/>
  <c r="AP124" i="11"/>
  <c r="AH124" i="11"/>
  <c r="AE124" i="11"/>
  <c r="AN124" i="11"/>
  <c r="I44" i="9"/>
  <c r="AN150" i="11"/>
  <c r="AE150" i="11"/>
  <c r="AJ150" i="11"/>
  <c r="AP150" i="11"/>
  <c r="AL150" i="11"/>
  <c r="AH150" i="11"/>
  <c r="AH101" i="11"/>
  <c r="AE101" i="11"/>
  <c r="AP101" i="11"/>
  <c r="AL101" i="11"/>
  <c r="AN101" i="11"/>
  <c r="AJ101" i="11"/>
  <c r="AN70" i="9"/>
  <c r="AF70" i="9"/>
  <c r="AL70" i="9"/>
  <c r="AJ70" i="9"/>
  <c r="AH70" i="9"/>
  <c r="AN142" i="11"/>
  <c r="AE142" i="11"/>
  <c r="AJ142" i="11"/>
  <c r="AP142" i="11"/>
  <c r="AH142" i="11"/>
  <c r="AL142" i="11"/>
  <c r="AH143" i="9"/>
  <c r="AN143" i="9"/>
  <c r="AF143" i="9"/>
  <c r="AL143" i="9"/>
  <c r="AJ143" i="9"/>
  <c r="AV69" i="9"/>
  <c r="BC69" i="9"/>
  <c r="BE69" i="9"/>
  <c r="BA69" i="9"/>
  <c r="AY69" i="9"/>
  <c r="BG69" i="9"/>
  <c r="AV73" i="9"/>
  <c r="BC73" i="9"/>
  <c r="BG73" i="9"/>
  <c r="BA73" i="9"/>
  <c r="BE73" i="9"/>
  <c r="AY73" i="9"/>
  <c r="AK95" i="9"/>
  <c r="AI95" i="9"/>
  <c r="AG95" i="9"/>
  <c r="AB95" i="9"/>
  <c r="AM95" i="9"/>
  <c r="AE95" i="9"/>
  <c r="AE105" i="11"/>
  <c r="AL105" i="11"/>
  <c r="AJ105" i="11"/>
  <c r="AH105" i="11"/>
  <c r="AP105" i="11"/>
  <c r="AN105" i="11"/>
  <c r="AK31" i="11"/>
  <c r="AI31" i="11"/>
  <c r="AO31" i="11"/>
  <c r="AG31" i="11"/>
  <c r="AM31" i="11"/>
  <c r="AC31" i="11"/>
  <c r="AD31" i="11" s="1"/>
  <c r="AI133" i="11"/>
  <c r="AM133" i="11"/>
  <c r="AK133" i="11"/>
  <c r="AG133" i="11"/>
  <c r="AC133" i="11"/>
  <c r="AO133" i="11"/>
  <c r="AK54" i="11"/>
  <c r="AC54" i="11"/>
  <c r="AD54" i="11" s="1"/>
  <c r="AI54" i="11"/>
  <c r="AO54" i="11"/>
  <c r="AG54" i="11"/>
  <c r="AM54" i="11"/>
  <c r="AX50" i="9"/>
  <c r="AL141" i="9"/>
  <c r="AJ141" i="9"/>
  <c r="AH141" i="9"/>
  <c r="AF141" i="9"/>
  <c r="AN141" i="9"/>
  <c r="AK94" i="9"/>
  <c r="AI94" i="9"/>
  <c r="AG94" i="9"/>
  <c r="AB94" i="9"/>
  <c r="AM94" i="9"/>
  <c r="AE94" i="9"/>
  <c r="AM97" i="11"/>
  <c r="AI97" i="11"/>
  <c r="AC97" i="11"/>
  <c r="AK97" i="11"/>
  <c r="AO97" i="11"/>
  <c r="AG97" i="11"/>
  <c r="M25" i="11"/>
  <c r="U25" i="11"/>
  <c r="S25" i="11"/>
  <c r="Q25" i="11"/>
  <c r="O25" i="11"/>
  <c r="K47" i="11"/>
  <c r="AK60" i="11"/>
  <c r="AC60" i="11"/>
  <c r="AD60" i="11" s="1"/>
  <c r="AI60" i="11"/>
  <c r="AM60" i="11"/>
  <c r="AG60" i="11"/>
  <c r="AO60" i="11"/>
  <c r="AK102" i="9"/>
  <c r="AB102" i="9"/>
  <c r="AI102" i="9"/>
  <c r="AG102" i="9"/>
  <c r="AE102" i="9"/>
  <c r="AM102" i="9"/>
  <c r="BJ73" i="11"/>
  <c r="BB73" i="11"/>
  <c r="BH73" i="11"/>
  <c r="BF73" i="11"/>
  <c r="BD73" i="11"/>
  <c r="AK120" i="11"/>
  <c r="AC120" i="11"/>
  <c r="AM120" i="11"/>
  <c r="AI120" i="11"/>
  <c r="AG120" i="11"/>
  <c r="AO120" i="11"/>
  <c r="AG67" i="9"/>
  <c r="AB67" i="9"/>
  <c r="AM67" i="9"/>
  <c r="AK67" i="9"/>
  <c r="AI67" i="9"/>
  <c r="AE67" i="9"/>
  <c r="AI23" i="11"/>
  <c r="AO23" i="11"/>
  <c r="AM23" i="11"/>
  <c r="AG23" i="11"/>
  <c r="AC23" i="11"/>
  <c r="AD23" i="11" s="1"/>
  <c r="AK23" i="11"/>
  <c r="AP131" i="11"/>
  <c r="AH131" i="11"/>
  <c r="AN131" i="11"/>
  <c r="AL131" i="11"/>
  <c r="AJ131" i="11"/>
  <c r="AE131" i="11"/>
  <c r="AK110" i="11"/>
  <c r="AC110" i="11"/>
  <c r="AM110" i="11"/>
  <c r="AI110" i="11"/>
  <c r="AG110" i="11"/>
  <c r="AO110" i="11"/>
  <c r="AK103" i="9"/>
  <c r="AB103" i="9"/>
  <c r="AI103" i="9"/>
  <c r="AG103" i="9"/>
  <c r="AM103" i="9"/>
  <c r="AE103" i="9"/>
  <c r="BA59" i="11"/>
  <c r="BI59" i="11"/>
  <c r="AX59" i="11"/>
  <c r="BG59" i="11"/>
  <c r="BE59" i="11"/>
  <c r="BC59" i="11"/>
  <c r="BF74" i="9"/>
  <c r="BH74" i="9"/>
  <c r="BD74" i="9"/>
  <c r="BB74" i="9"/>
  <c r="AZ74" i="9"/>
  <c r="AK99" i="11"/>
  <c r="AC99" i="11"/>
  <c r="AO99" i="11"/>
  <c r="AM99" i="11"/>
  <c r="AI99" i="11"/>
  <c r="AG99" i="11"/>
  <c r="AP21" i="11"/>
  <c r="AH21" i="11"/>
  <c r="AN21" i="11"/>
  <c r="AL21" i="11"/>
  <c r="AJ21" i="11"/>
  <c r="AE21" i="11"/>
  <c r="AF21" i="11" s="1"/>
  <c r="AV37" i="11"/>
  <c r="AW37" i="11"/>
  <c r="AE132" i="11"/>
  <c r="AP132" i="11"/>
  <c r="AH132" i="11"/>
  <c r="AJ132" i="11"/>
  <c r="AL132" i="11"/>
  <c r="AN132" i="11"/>
  <c r="AA26" i="9"/>
  <c r="Z26" i="9"/>
  <c r="BC79" i="9"/>
  <c r="AY79" i="9"/>
  <c r="BG79" i="9"/>
  <c r="BE79" i="9"/>
  <c r="AV79" i="9"/>
  <c r="BA79" i="9"/>
  <c r="AJ74" i="11"/>
  <c r="AH74" i="11"/>
  <c r="AE74" i="11"/>
  <c r="AN74" i="11"/>
  <c r="AP74" i="11"/>
  <c r="AL74" i="11"/>
  <c r="BE84" i="9"/>
  <c r="AV84" i="9"/>
  <c r="BC84" i="9"/>
  <c r="BA84" i="9"/>
  <c r="AY84" i="9"/>
  <c r="BG84" i="9"/>
  <c r="R31" i="11"/>
  <c r="P31" i="11"/>
  <c r="N31" i="11"/>
  <c r="L31" i="11"/>
  <c r="T31" i="11"/>
  <c r="BE80" i="9"/>
  <c r="BA80" i="9"/>
  <c r="AY80" i="9"/>
  <c r="AV80" i="9"/>
  <c r="BG80" i="9"/>
  <c r="BC80" i="9"/>
  <c r="BH52" i="9"/>
  <c r="AZ52" i="9"/>
  <c r="BF52" i="9"/>
  <c r="BD52" i="9"/>
  <c r="BB52" i="9"/>
  <c r="BC74" i="11"/>
  <c r="BI74" i="11"/>
  <c r="BA74" i="11"/>
  <c r="BG74" i="11"/>
  <c r="BE74" i="11"/>
  <c r="AX74" i="11"/>
  <c r="P27" i="9"/>
  <c r="T27" i="9"/>
  <c r="R27" i="9"/>
  <c r="L27" i="9"/>
  <c r="N27" i="9"/>
  <c r="T25" i="9"/>
  <c r="L25" i="9"/>
  <c r="R25" i="9"/>
  <c r="P25" i="9"/>
  <c r="N25" i="9"/>
  <c r="AD45" i="9"/>
  <c r="AL132" i="9"/>
  <c r="AJ132" i="9"/>
  <c r="AH132" i="9"/>
  <c r="AF132" i="9"/>
  <c r="AN132" i="9"/>
  <c r="AJ115" i="9"/>
  <c r="AN115" i="9"/>
  <c r="AL115" i="9"/>
  <c r="AF115" i="9"/>
  <c r="AH115" i="9"/>
  <c r="AJ23" i="11"/>
  <c r="AP23" i="11"/>
  <c r="AH23" i="11"/>
  <c r="AN23" i="11"/>
  <c r="AL23" i="11"/>
  <c r="AE23" i="11"/>
  <c r="AF23" i="11" s="1"/>
  <c r="K24" i="11"/>
  <c r="AK131" i="11"/>
  <c r="AC131" i="11"/>
  <c r="AI131" i="11"/>
  <c r="AG131" i="11"/>
  <c r="AM131" i="11"/>
  <c r="AO131" i="11"/>
  <c r="AM34" i="11"/>
  <c r="AK34" i="11"/>
  <c r="AC34" i="11"/>
  <c r="AD34" i="11" s="1"/>
  <c r="AO34" i="11"/>
  <c r="AI34" i="11"/>
  <c r="AG34" i="11"/>
  <c r="AJ118" i="9"/>
  <c r="AN118" i="9"/>
  <c r="AH118" i="9"/>
  <c r="AL118" i="9"/>
  <c r="AF118" i="9"/>
  <c r="AD71" i="9"/>
  <c r="U19" i="11"/>
  <c r="M19" i="11"/>
  <c r="O19" i="11"/>
  <c r="S19" i="11"/>
  <c r="Q19" i="11"/>
  <c r="O57" i="11"/>
  <c r="M57" i="11"/>
  <c r="U57" i="11"/>
  <c r="S57" i="11"/>
  <c r="Q57" i="11"/>
  <c r="J54" i="9"/>
  <c r="AD68" i="9"/>
  <c r="BG71" i="9"/>
  <c r="AY71" i="9"/>
  <c r="AV71" i="9"/>
  <c r="BE71" i="9"/>
  <c r="BC71" i="9"/>
  <c r="BA71" i="9"/>
  <c r="AL49" i="11"/>
  <c r="AJ49" i="11"/>
  <c r="AP49" i="11"/>
  <c r="AN49" i="11"/>
  <c r="AH49" i="11"/>
  <c r="AE49" i="11"/>
  <c r="AF49" i="11" s="1"/>
  <c r="AW55" i="9"/>
  <c r="AO89" i="11"/>
  <c r="AG89" i="11"/>
  <c r="AM89" i="11"/>
  <c r="AC89" i="11"/>
  <c r="AK89" i="11"/>
  <c r="AI89" i="11"/>
  <c r="AN19" i="11"/>
  <c r="AE19" i="11"/>
  <c r="AF19" i="11" s="1"/>
  <c r="AL19" i="11"/>
  <c r="AJ19" i="11"/>
  <c r="AH19" i="11"/>
  <c r="AP19" i="11"/>
  <c r="AI144" i="11"/>
  <c r="AO144" i="11"/>
  <c r="AG144" i="11"/>
  <c r="AM144" i="11"/>
  <c r="AC144" i="11"/>
  <c r="AK144" i="11"/>
  <c r="AU19" i="9"/>
  <c r="AT19" i="9"/>
  <c r="R24" i="9"/>
  <c r="L24" i="9"/>
  <c r="T24" i="9"/>
  <c r="P24" i="9"/>
  <c r="N24" i="9"/>
  <c r="AN140" i="9"/>
  <c r="AF140" i="9"/>
  <c r="AL140" i="9"/>
  <c r="AJ140" i="9"/>
  <c r="AH140" i="9"/>
  <c r="BF84" i="9"/>
  <c r="BD84" i="9"/>
  <c r="BB84" i="9"/>
  <c r="AZ84" i="9"/>
  <c r="BH84" i="9"/>
  <c r="AC54" i="9"/>
  <c r="N26" i="9"/>
  <c r="P26" i="9"/>
  <c r="T26" i="9"/>
  <c r="L26" i="9"/>
  <c r="R26" i="9"/>
  <c r="AK99" i="9"/>
  <c r="AB99" i="9"/>
  <c r="AI99" i="9"/>
  <c r="AG99" i="9"/>
  <c r="AE99" i="9"/>
  <c r="AM99" i="9"/>
  <c r="J74" i="9"/>
  <c r="BB52" i="11"/>
  <c r="BJ52" i="11"/>
  <c r="BF52" i="11"/>
  <c r="BD52" i="11"/>
  <c r="BH52" i="11"/>
  <c r="AI72" i="11"/>
  <c r="AO72" i="11"/>
  <c r="AG72" i="11"/>
  <c r="AM72" i="11"/>
  <c r="AC72" i="11"/>
  <c r="AK72" i="11"/>
  <c r="BG76" i="11"/>
  <c r="BE76" i="11"/>
  <c r="BC76" i="11"/>
  <c r="BA76" i="11"/>
  <c r="AX76" i="11"/>
  <c r="BI76" i="11"/>
  <c r="J73" i="9"/>
  <c r="AO77" i="11"/>
  <c r="AG77" i="11"/>
  <c r="AK77" i="11"/>
  <c r="AI77" i="11"/>
  <c r="AC77" i="11"/>
  <c r="AM77" i="11"/>
  <c r="BB72" i="9"/>
  <c r="BH72" i="9"/>
  <c r="AZ72" i="9"/>
  <c r="BF72" i="9"/>
  <c r="BD72" i="9"/>
  <c r="AP94" i="11"/>
  <c r="AN94" i="11"/>
  <c r="AE94" i="11"/>
  <c r="AH94" i="11"/>
  <c r="AJ94" i="11"/>
  <c r="AL94" i="11"/>
  <c r="AJ53" i="11"/>
  <c r="AP53" i="11"/>
  <c r="AH53" i="11"/>
  <c r="AN53" i="11"/>
  <c r="AL53" i="11"/>
  <c r="AE53" i="11"/>
  <c r="AF53" i="11" s="1"/>
  <c r="K53" i="11"/>
  <c r="AL75" i="11"/>
  <c r="AJ75" i="11"/>
  <c r="AP75" i="11"/>
  <c r="AE75" i="11"/>
  <c r="AH75" i="11"/>
  <c r="AN75" i="11"/>
  <c r="AX47" i="9"/>
  <c r="AX48" i="9"/>
  <c r="K46" i="11"/>
  <c r="BH78" i="11"/>
  <c r="BJ78" i="11"/>
  <c r="BF78" i="11"/>
  <c r="BD78" i="11"/>
  <c r="BB78" i="11"/>
  <c r="T33" i="11"/>
  <c r="L33" i="11"/>
  <c r="R33" i="11"/>
  <c r="P33" i="11"/>
  <c r="N33" i="11"/>
  <c r="J33" i="9"/>
  <c r="AN51" i="9"/>
  <c r="AF51" i="9"/>
  <c r="AL51" i="9"/>
  <c r="AJ51" i="9"/>
  <c r="AH51" i="9"/>
  <c r="AW22" i="11"/>
  <c r="AV22" i="11"/>
  <c r="AH32" i="11"/>
  <c r="AP32" i="11"/>
  <c r="AN32" i="11"/>
  <c r="AE32" i="11"/>
  <c r="AF32" i="11" s="1"/>
  <c r="AL32" i="11"/>
  <c r="AJ32" i="11"/>
  <c r="Z32" i="9"/>
  <c r="AA32" i="9"/>
  <c r="AO115" i="11"/>
  <c r="AG115" i="11"/>
  <c r="AK115" i="11"/>
  <c r="AM115" i="11"/>
  <c r="AI115" i="11"/>
  <c r="AC115" i="11"/>
  <c r="AW46" i="9"/>
  <c r="AT31" i="9"/>
  <c r="AU31" i="9"/>
  <c r="AK80" i="11"/>
  <c r="AI80" i="11"/>
  <c r="AG80" i="11"/>
  <c r="AC80" i="11"/>
  <c r="AO80" i="11"/>
  <c r="AM80" i="11"/>
  <c r="AI136" i="11"/>
  <c r="AO136" i="11"/>
  <c r="AG136" i="11"/>
  <c r="AM136" i="11"/>
  <c r="AK136" i="11"/>
  <c r="AC136" i="11"/>
  <c r="T21" i="9"/>
  <c r="L21" i="9"/>
  <c r="R21" i="9"/>
  <c r="P21" i="9"/>
  <c r="N21" i="9"/>
  <c r="AO70" i="11"/>
  <c r="AG70" i="11"/>
  <c r="AM70" i="11"/>
  <c r="AI70" i="11"/>
  <c r="AC70" i="11"/>
  <c r="AK70" i="11"/>
  <c r="K65" i="11"/>
  <c r="BF49" i="11"/>
  <c r="BD49" i="11"/>
  <c r="BJ49" i="11"/>
  <c r="BB49" i="11"/>
  <c r="BH49" i="11"/>
  <c r="AK100" i="9"/>
  <c r="AB100" i="9"/>
  <c r="AI100" i="9"/>
  <c r="AG100" i="9"/>
  <c r="AM100" i="9"/>
  <c r="AE100" i="9"/>
  <c r="AJ100" i="11"/>
  <c r="AP100" i="11"/>
  <c r="AH100" i="11"/>
  <c r="AE100" i="11"/>
  <c r="AL100" i="11"/>
  <c r="AN100" i="11"/>
  <c r="AD114" i="9"/>
  <c r="I78" i="9"/>
  <c r="AL125" i="9"/>
  <c r="AJ125" i="9"/>
  <c r="AH125" i="9"/>
  <c r="AF125" i="9"/>
  <c r="AN125" i="9"/>
  <c r="BE76" i="9"/>
  <c r="AY76" i="9"/>
  <c r="BG76" i="9"/>
  <c r="AV76" i="9"/>
  <c r="BC76" i="9"/>
  <c r="BA76" i="9"/>
  <c r="AC71" i="9"/>
  <c r="AH67" i="9"/>
  <c r="AN67" i="9"/>
  <c r="AF67" i="9"/>
  <c r="AL67" i="9"/>
  <c r="AJ67" i="9"/>
  <c r="AL69" i="9"/>
  <c r="AJ69" i="9"/>
  <c r="AH69" i="9"/>
  <c r="AN69" i="9"/>
  <c r="AF69" i="9"/>
  <c r="AE28" i="11"/>
  <c r="AF28" i="11" s="1"/>
  <c r="AH28" i="11"/>
  <c r="AP28" i="11"/>
  <c r="AL28" i="11"/>
  <c r="AN28" i="11"/>
  <c r="AJ28" i="11"/>
  <c r="AM140" i="11"/>
  <c r="AK140" i="11"/>
  <c r="AC140" i="11"/>
  <c r="AG140" i="11"/>
  <c r="AO140" i="11"/>
  <c r="AI140" i="11"/>
  <c r="K50" i="11"/>
  <c r="AB142" i="9"/>
  <c r="AM142" i="9"/>
  <c r="AI142" i="9"/>
  <c r="AK142" i="9"/>
  <c r="AG142" i="9"/>
  <c r="AE142" i="9"/>
  <c r="AI95" i="11"/>
  <c r="AG95" i="11"/>
  <c r="AC95" i="11"/>
  <c r="AM95" i="11"/>
  <c r="AO95" i="11"/>
  <c r="AK95" i="11"/>
  <c r="BH60" i="9"/>
  <c r="AZ60" i="9"/>
  <c r="BF60" i="9"/>
  <c r="BD60" i="9"/>
  <c r="BB60" i="9"/>
  <c r="AM26" i="11"/>
  <c r="AO26" i="11"/>
  <c r="AC26" i="11"/>
  <c r="AD26" i="11" s="1"/>
  <c r="AK26" i="11"/>
  <c r="AI26" i="11"/>
  <c r="AG26" i="11"/>
  <c r="AN27" i="11"/>
  <c r="AL27" i="11"/>
  <c r="AJ27" i="11"/>
  <c r="AP27" i="11"/>
  <c r="AH27" i="11"/>
  <c r="AE27" i="11"/>
  <c r="AF27" i="11" s="1"/>
  <c r="AF91" i="9"/>
  <c r="AN91" i="9"/>
  <c r="AL91" i="9"/>
  <c r="AJ91" i="9"/>
  <c r="AH91" i="9"/>
  <c r="AL110" i="11"/>
  <c r="AJ110" i="11"/>
  <c r="AN110" i="11"/>
  <c r="AH110" i="11"/>
  <c r="AE110" i="11"/>
  <c r="AP110" i="11"/>
  <c r="I77" i="11"/>
  <c r="BJ59" i="11"/>
  <c r="BB59" i="11"/>
  <c r="BH59" i="11"/>
  <c r="BF59" i="11"/>
  <c r="BD59" i="11"/>
  <c r="AI78" i="11"/>
  <c r="AO78" i="11"/>
  <c r="AG78" i="11"/>
  <c r="AM78" i="11"/>
  <c r="AK78" i="11"/>
  <c r="AC78" i="11"/>
  <c r="AE131" i="9"/>
  <c r="AM131" i="9"/>
  <c r="AB131" i="9"/>
  <c r="AI131" i="9"/>
  <c r="AK131" i="9"/>
  <c r="AG131" i="9"/>
  <c r="AN124" i="9"/>
  <c r="AF124" i="9"/>
  <c r="AJ124" i="9"/>
  <c r="AH124" i="9"/>
  <c r="AL124" i="9"/>
  <c r="BD81" i="9"/>
  <c r="BB81" i="9"/>
  <c r="AZ81" i="9"/>
  <c r="BH81" i="9"/>
  <c r="BF81" i="9"/>
  <c r="AN99" i="11"/>
  <c r="AE99" i="11"/>
  <c r="AL99" i="11"/>
  <c r="AP99" i="11"/>
  <c r="AJ99" i="11"/>
  <c r="AH99" i="11"/>
  <c r="BE51" i="9"/>
  <c r="AV51" i="9"/>
  <c r="BG51" i="9"/>
  <c r="BC51" i="9"/>
  <c r="BA51" i="9"/>
  <c r="AY51" i="9"/>
  <c r="J56" i="9"/>
  <c r="BD64" i="11"/>
  <c r="BJ64" i="11"/>
  <c r="BB64" i="11"/>
  <c r="BF64" i="11"/>
  <c r="BH64" i="11"/>
  <c r="Q23" i="11"/>
  <c r="U23" i="11"/>
  <c r="O23" i="11"/>
  <c r="S23" i="11"/>
  <c r="M23" i="11"/>
  <c r="AE65" i="11"/>
  <c r="AP65" i="11"/>
  <c r="AN65" i="11"/>
  <c r="AJ65" i="11"/>
  <c r="AL65" i="11"/>
  <c r="AH65" i="11"/>
  <c r="AJ141" i="11"/>
  <c r="AP141" i="11"/>
  <c r="AH141" i="11"/>
  <c r="AE141" i="11"/>
  <c r="AN141" i="11"/>
  <c r="AL141" i="11"/>
  <c r="BD65" i="9"/>
  <c r="BB65" i="9"/>
  <c r="BH65" i="9"/>
  <c r="AZ65" i="9"/>
  <c r="BF65" i="9"/>
  <c r="AO103" i="11"/>
  <c r="AG103" i="11"/>
  <c r="AC103" i="11"/>
  <c r="AM103" i="11"/>
  <c r="AK103" i="11"/>
  <c r="AI103" i="11"/>
  <c r="AJ46" i="11"/>
  <c r="AH46" i="11"/>
  <c r="AN46" i="11"/>
  <c r="AL46" i="11"/>
  <c r="AP46" i="11"/>
  <c r="AE46" i="11"/>
  <c r="AF46" i="11" s="1"/>
  <c r="K52" i="11"/>
  <c r="AO21" i="11"/>
  <c r="AG21" i="11"/>
  <c r="AM21" i="11"/>
  <c r="AI21" i="11"/>
  <c r="AK21" i="11"/>
  <c r="AC21" i="11"/>
  <c r="AD21" i="11" s="1"/>
  <c r="AN137" i="11"/>
  <c r="AE137" i="11"/>
  <c r="AL137" i="11"/>
  <c r="AJ137" i="11"/>
  <c r="AP137" i="11"/>
  <c r="AH137" i="11"/>
  <c r="AK111" i="9"/>
  <c r="AB111" i="9"/>
  <c r="AI111" i="9"/>
  <c r="AG111" i="9"/>
  <c r="AE111" i="9"/>
  <c r="AM111" i="9"/>
  <c r="AW26" i="11"/>
  <c r="AV26" i="11"/>
  <c r="AV27" i="11"/>
  <c r="AW27" i="11"/>
  <c r="AV35" i="11"/>
  <c r="AW35" i="11"/>
  <c r="AI126" i="11"/>
  <c r="AK126" i="11"/>
  <c r="AM126" i="11"/>
  <c r="AG126" i="11"/>
  <c r="AC126" i="11"/>
  <c r="AO126" i="11"/>
  <c r="I53" i="11"/>
  <c r="AI67" i="11"/>
  <c r="AO67" i="11"/>
  <c r="AG67" i="11"/>
  <c r="AM67" i="11"/>
  <c r="AK67" i="11"/>
  <c r="AC67" i="11"/>
  <c r="I57" i="9"/>
  <c r="AW49" i="9"/>
  <c r="BE82" i="9"/>
  <c r="AY82" i="9"/>
  <c r="BG82" i="9"/>
  <c r="AV82" i="9"/>
  <c r="BC82" i="9"/>
  <c r="BA82" i="9"/>
  <c r="AC102" i="11"/>
  <c r="AM102" i="11"/>
  <c r="AK102" i="11"/>
  <c r="AI102" i="11"/>
  <c r="AG102" i="11"/>
  <c r="AO102" i="11"/>
  <c r="AA24" i="9"/>
  <c r="Z24" i="9"/>
  <c r="AA22" i="9"/>
  <c r="Z22" i="9"/>
  <c r="AN55" i="9"/>
  <c r="AF55" i="9"/>
  <c r="AL55" i="9"/>
  <c r="AJ55" i="9"/>
  <c r="AH55" i="9"/>
  <c r="T28" i="11"/>
  <c r="R28" i="11"/>
  <c r="P28" i="11"/>
  <c r="N28" i="11"/>
  <c r="L28" i="11"/>
  <c r="O21" i="11"/>
  <c r="S21" i="11"/>
  <c r="U21" i="11"/>
  <c r="Q21" i="11"/>
  <c r="M21" i="11"/>
  <c r="AE56" i="11"/>
  <c r="AF56" i="11" s="1"/>
  <c r="AL56" i="11"/>
  <c r="AN56" i="11"/>
  <c r="AJ56" i="11"/>
  <c r="AP56" i="11"/>
  <c r="AH56" i="11"/>
  <c r="AP139" i="11"/>
  <c r="AH139" i="11"/>
  <c r="AN139" i="11"/>
  <c r="AJ139" i="11"/>
  <c r="AL139" i="11"/>
  <c r="AE139" i="11"/>
  <c r="AJ47" i="11"/>
  <c r="AP47" i="11"/>
  <c r="AH47" i="11"/>
  <c r="AE47" i="11"/>
  <c r="AF47" i="11" s="1"/>
  <c r="AN47" i="11"/>
  <c r="AL47" i="11"/>
  <c r="P45" i="11"/>
  <c r="N45" i="11"/>
  <c r="L45" i="11"/>
  <c r="T45" i="11"/>
  <c r="R45" i="11"/>
  <c r="AT33" i="9"/>
  <c r="AU33" i="9"/>
  <c r="AU24" i="9"/>
  <c r="AT24" i="9"/>
  <c r="AU26" i="9"/>
  <c r="AT26" i="9"/>
  <c r="AK135" i="11"/>
  <c r="AC135" i="11"/>
  <c r="AO135" i="11"/>
  <c r="AG135" i="11"/>
  <c r="AI135" i="11"/>
  <c r="AM135" i="11"/>
  <c r="AH119" i="9"/>
  <c r="AJ119" i="9"/>
  <c r="AF119" i="9"/>
  <c r="AN119" i="9"/>
  <c r="AL119" i="9"/>
  <c r="BH77" i="11"/>
  <c r="BF77" i="11"/>
  <c r="BD77" i="11"/>
  <c r="BB77" i="11"/>
  <c r="BJ77" i="11"/>
  <c r="AK117" i="11"/>
  <c r="AI117" i="11"/>
  <c r="AC117" i="11"/>
  <c r="AM117" i="11"/>
  <c r="AG117" i="11"/>
  <c r="AO117" i="11"/>
  <c r="AI101" i="11"/>
  <c r="AK101" i="11"/>
  <c r="AO101" i="11"/>
  <c r="AM101" i="11"/>
  <c r="AC101" i="11"/>
  <c r="AG101" i="11"/>
  <c r="AI112" i="11"/>
  <c r="AC112" i="11"/>
  <c r="AO112" i="11"/>
  <c r="AG112" i="11"/>
  <c r="AK112" i="11"/>
  <c r="AM112" i="11"/>
  <c r="I80" i="11"/>
  <c r="AI143" i="9"/>
  <c r="AG143" i="9"/>
  <c r="AE143" i="9"/>
  <c r="AB143" i="9"/>
  <c r="AM143" i="9"/>
  <c r="AK143" i="9"/>
  <c r="BD69" i="9"/>
  <c r="BB69" i="9"/>
  <c r="BH69" i="9"/>
  <c r="AZ69" i="9"/>
  <c r="BF69" i="9"/>
  <c r="AD47" i="9"/>
  <c r="BD73" i="9"/>
  <c r="BB73" i="9"/>
  <c r="BH73" i="9"/>
  <c r="AZ73" i="9"/>
  <c r="BF73" i="9"/>
  <c r="AN95" i="9"/>
  <c r="AJ95" i="9"/>
  <c r="AH95" i="9"/>
  <c r="AL95" i="9"/>
  <c r="AF95" i="9"/>
  <c r="AK93" i="11"/>
  <c r="AI93" i="11"/>
  <c r="AG93" i="11"/>
  <c r="AC93" i="11"/>
  <c r="AO93" i="11"/>
  <c r="AM93" i="11"/>
  <c r="J60" i="9"/>
  <c r="R20" i="9"/>
  <c r="L20" i="9"/>
  <c r="P20" i="9"/>
  <c r="T20" i="9"/>
  <c r="N20" i="9"/>
  <c r="I44" i="11"/>
  <c r="AJ31" i="11"/>
  <c r="AP31" i="11"/>
  <c r="AH31" i="11"/>
  <c r="AL31" i="11"/>
  <c r="AN31" i="11"/>
  <c r="AE31" i="11"/>
  <c r="AF31" i="11" s="1"/>
  <c r="AJ133" i="11"/>
  <c r="AP133" i="11"/>
  <c r="AH133" i="11"/>
  <c r="AE133" i="11"/>
  <c r="AN133" i="11"/>
  <c r="AL133" i="11"/>
  <c r="AJ54" i="11"/>
  <c r="AE54" i="11"/>
  <c r="AF54" i="11" s="1"/>
  <c r="AN54" i="11"/>
  <c r="AP54" i="11"/>
  <c r="AL54" i="11"/>
  <c r="AH54" i="11"/>
  <c r="AB141" i="9"/>
  <c r="AI141" i="9"/>
  <c r="AG141" i="9"/>
  <c r="AK141" i="9"/>
  <c r="AM141" i="9"/>
  <c r="AE141" i="9"/>
  <c r="AI120" i="9"/>
  <c r="AE120" i="9"/>
  <c r="AM120" i="9"/>
  <c r="AG120" i="9"/>
  <c r="AK120" i="9"/>
  <c r="AB120" i="9"/>
  <c r="AN94" i="9"/>
  <c r="AJ94" i="9"/>
  <c r="AL94" i="9"/>
  <c r="AH94" i="9"/>
  <c r="AF94" i="9"/>
  <c r="J67" i="9"/>
  <c r="BG52" i="9"/>
  <c r="AY52" i="9"/>
  <c r="AV52" i="9"/>
  <c r="BE52" i="9"/>
  <c r="BC52" i="9"/>
  <c r="BA52" i="9"/>
  <c r="BB57" i="9"/>
  <c r="BH57" i="9"/>
  <c r="AZ57" i="9"/>
  <c r="BF57" i="9"/>
  <c r="BD57" i="9"/>
  <c r="AN57" i="11"/>
  <c r="AJ57" i="11"/>
  <c r="AH57" i="11"/>
  <c r="AE57" i="11"/>
  <c r="AF57" i="11" s="1"/>
  <c r="AL57" i="11"/>
  <c r="AP57" i="11"/>
  <c r="AH139" i="9"/>
  <c r="AN139" i="9"/>
  <c r="AF139" i="9"/>
  <c r="AL139" i="9"/>
  <c r="AJ139" i="9"/>
  <c r="AC49" i="9"/>
  <c r="AD54" i="9"/>
  <c r="Q27" i="9"/>
  <c r="O27" i="9"/>
  <c r="M27" i="9"/>
  <c r="K27" i="9"/>
  <c r="S27" i="9"/>
  <c r="AJ102" i="9"/>
  <c r="AH102" i="9"/>
  <c r="AF102" i="9"/>
  <c r="AN102" i="9"/>
  <c r="AL102" i="9"/>
  <c r="BC54" i="11"/>
  <c r="BI54" i="11"/>
  <c r="BA54" i="11"/>
  <c r="BG54" i="11"/>
  <c r="BE54" i="11"/>
  <c r="AX54" i="11"/>
  <c r="AN120" i="11"/>
  <c r="AL120" i="11"/>
  <c r="AJ120" i="11"/>
  <c r="AH120" i="11"/>
  <c r="AE120" i="11"/>
  <c r="AP120" i="11"/>
  <c r="AY44" i="11" l="1"/>
  <c r="I71" i="11"/>
  <c r="I58" i="11"/>
  <c r="AX44" i="9"/>
  <c r="AC132" i="9"/>
  <c r="J59" i="9"/>
  <c r="AD102" i="9"/>
  <c r="J20" i="9"/>
  <c r="AD132" i="11"/>
  <c r="AZ54" i="11"/>
  <c r="AC78" i="9"/>
  <c r="AD80" i="9"/>
  <c r="AF147" i="11"/>
  <c r="AW45" i="9"/>
  <c r="AF113" i="11"/>
  <c r="AY80" i="11"/>
  <c r="AY48" i="11"/>
  <c r="AF77" i="11"/>
  <c r="AY46" i="11"/>
  <c r="I25" i="9"/>
  <c r="AF145" i="11"/>
  <c r="AD123" i="9"/>
  <c r="AY64" i="11"/>
  <c r="AF139" i="11"/>
  <c r="K21" i="11"/>
  <c r="AX72" i="9"/>
  <c r="AD140" i="9"/>
  <c r="AW80" i="9"/>
  <c r="AW79" i="9"/>
  <c r="AX74" i="9"/>
  <c r="AD133" i="11"/>
  <c r="AC95" i="9"/>
  <c r="AF142" i="11"/>
  <c r="AD70" i="9"/>
  <c r="AF150" i="11"/>
  <c r="AF92" i="11"/>
  <c r="AZ53" i="11"/>
  <c r="AF143" i="11"/>
  <c r="AD96" i="11"/>
  <c r="AX76" i="9"/>
  <c r="AD74" i="9"/>
  <c r="AD103" i="9"/>
  <c r="K69" i="11"/>
  <c r="I66" i="11"/>
  <c r="AD56" i="9"/>
  <c r="J22" i="9"/>
  <c r="J30" i="9"/>
  <c r="AD89" i="9"/>
  <c r="AD75" i="11"/>
  <c r="I51" i="11"/>
  <c r="AF121" i="11"/>
  <c r="AD94" i="11"/>
  <c r="AC112" i="9"/>
  <c r="K35" i="11"/>
  <c r="AD125" i="11"/>
  <c r="AC59" i="9"/>
  <c r="AW83" i="9"/>
  <c r="AC121" i="9"/>
  <c r="AC147" i="9"/>
  <c r="AC136" i="9"/>
  <c r="AC149" i="9"/>
  <c r="AC117" i="9"/>
  <c r="AD146" i="11"/>
  <c r="AC133" i="9"/>
  <c r="AF125" i="11"/>
  <c r="AD119" i="11"/>
  <c r="AD100" i="9"/>
  <c r="AC122" i="9"/>
  <c r="K33" i="11"/>
  <c r="AC48" i="9"/>
  <c r="J19" i="9"/>
  <c r="AC60" i="9"/>
  <c r="AF149" i="11"/>
  <c r="AY65" i="11"/>
  <c r="AF95" i="11"/>
  <c r="AW44" i="9"/>
  <c r="AN97" i="9"/>
  <c r="AL97" i="9"/>
  <c r="AJ97" i="9"/>
  <c r="AH97" i="9"/>
  <c r="AF97" i="9"/>
  <c r="AF110" i="11"/>
  <c r="AC142" i="9"/>
  <c r="AF124" i="11"/>
  <c r="AD104" i="9"/>
  <c r="AF126" i="11"/>
  <c r="AF90" i="11"/>
  <c r="AW60" i="9"/>
  <c r="AY85" i="11"/>
  <c r="AW74" i="9"/>
  <c r="AD145" i="11"/>
  <c r="AF122" i="11"/>
  <c r="AD95" i="9"/>
  <c r="AK105" i="9"/>
  <c r="AB105" i="9"/>
  <c r="AI105" i="9"/>
  <c r="AG105" i="9"/>
  <c r="AM105" i="9"/>
  <c r="AE105" i="9"/>
  <c r="AD94" i="9"/>
  <c r="K66" i="11"/>
  <c r="AM101" i="9"/>
  <c r="AE101" i="9"/>
  <c r="AK101" i="9"/>
  <c r="AB101" i="9"/>
  <c r="AI101" i="9"/>
  <c r="AG101" i="9"/>
  <c r="AN105" i="9"/>
  <c r="AJ105" i="9"/>
  <c r="AL105" i="9"/>
  <c r="AH105" i="9"/>
  <c r="AF105" i="9"/>
  <c r="AG90" i="9"/>
  <c r="AE90" i="9"/>
  <c r="AM90" i="9"/>
  <c r="AI90" i="9"/>
  <c r="AK90" i="9"/>
  <c r="AB90" i="9"/>
  <c r="AJ101" i="9"/>
  <c r="AN101" i="9"/>
  <c r="AL101" i="9"/>
  <c r="AF101" i="9"/>
  <c r="AH101" i="9"/>
  <c r="AD55" i="9"/>
  <c r="AX81" i="9"/>
  <c r="J24" i="9"/>
  <c r="K57" i="11"/>
  <c r="AY74" i="11"/>
  <c r="AD122" i="9"/>
  <c r="AX67" i="9"/>
  <c r="AZ47" i="11"/>
  <c r="AD142" i="11"/>
  <c r="AD64" i="11"/>
  <c r="AD120" i="9"/>
  <c r="AD134" i="11"/>
  <c r="AZ74" i="11"/>
  <c r="K58" i="11"/>
  <c r="AJ90" i="9"/>
  <c r="AH90" i="9"/>
  <c r="AF90" i="9"/>
  <c r="AN90" i="9"/>
  <c r="AL90" i="9"/>
  <c r="AG92" i="9"/>
  <c r="AE92" i="9"/>
  <c r="AK92" i="9"/>
  <c r="AB92" i="9"/>
  <c r="AM92" i="9"/>
  <c r="AI92" i="9"/>
  <c r="AK97" i="9"/>
  <c r="AB97" i="9"/>
  <c r="AI97" i="9"/>
  <c r="AG97" i="9"/>
  <c r="AE97" i="9"/>
  <c r="AM97" i="9"/>
  <c r="AJ92" i="9"/>
  <c r="AH92" i="9"/>
  <c r="AN92" i="9"/>
  <c r="AF92" i="9"/>
  <c r="AL92" i="9"/>
  <c r="I69" i="11"/>
  <c r="BG34" i="9"/>
  <c r="BE34" i="9"/>
  <c r="AV34" i="9"/>
  <c r="BC34" i="9"/>
  <c r="BA34" i="9"/>
  <c r="AY34" i="9"/>
  <c r="AW34" i="9" s="1"/>
  <c r="BJ31" i="11"/>
  <c r="BB31" i="11"/>
  <c r="BH31" i="11"/>
  <c r="BF31" i="11"/>
  <c r="BD31" i="11"/>
  <c r="AX84" i="9"/>
  <c r="AC124" i="9"/>
  <c r="AD142" i="9"/>
  <c r="AD148" i="11"/>
  <c r="AZ48" i="11"/>
  <c r="AL29" i="9"/>
  <c r="AH29" i="9"/>
  <c r="AF29" i="9"/>
  <c r="AN29" i="9"/>
  <c r="AJ29" i="9"/>
  <c r="AD76" i="9"/>
  <c r="AD111" i="11"/>
  <c r="AC116" i="9"/>
  <c r="AD149" i="9"/>
  <c r="J80" i="9"/>
  <c r="AD130" i="9"/>
  <c r="BG30" i="9"/>
  <c r="AY30" i="9"/>
  <c r="BE30" i="9"/>
  <c r="BC30" i="9"/>
  <c r="AV30" i="9"/>
  <c r="BA30" i="9"/>
  <c r="AY58" i="11"/>
  <c r="AF136" i="11"/>
  <c r="BF38" i="9"/>
  <c r="BD38" i="9"/>
  <c r="BB38" i="9"/>
  <c r="AZ38" i="9"/>
  <c r="BH38" i="9"/>
  <c r="K27" i="11"/>
  <c r="I57" i="11"/>
  <c r="AD133" i="9"/>
  <c r="AC77" i="9"/>
  <c r="AZ46" i="11"/>
  <c r="AF111" i="11"/>
  <c r="AX64" i="9"/>
  <c r="AC120" i="9"/>
  <c r="AD119" i="9"/>
  <c r="AD126" i="11"/>
  <c r="BE26" i="11"/>
  <c r="BC26" i="11"/>
  <c r="BI26" i="11"/>
  <c r="AX26" i="11"/>
  <c r="BG26" i="11"/>
  <c r="BA26" i="11"/>
  <c r="AC131" i="9"/>
  <c r="AF74" i="11"/>
  <c r="BD37" i="11"/>
  <c r="BJ37" i="11"/>
  <c r="BB37" i="11"/>
  <c r="BH37" i="11"/>
  <c r="BF37" i="11"/>
  <c r="AD110" i="11"/>
  <c r="AZ73" i="11"/>
  <c r="AE34" i="9"/>
  <c r="AM34" i="9"/>
  <c r="AK34" i="9"/>
  <c r="AI34" i="9"/>
  <c r="AG34" i="9"/>
  <c r="AB34" i="9"/>
  <c r="AD48" i="9"/>
  <c r="AF78" i="11"/>
  <c r="AC56" i="9"/>
  <c r="AZ70" i="11"/>
  <c r="AD146" i="9"/>
  <c r="AY50" i="11"/>
  <c r="I68" i="11"/>
  <c r="AD123" i="11"/>
  <c r="AF146" i="11"/>
  <c r="AD105" i="11"/>
  <c r="BH37" i="9"/>
  <c r="AZ37" i="9"/>
  <c r="BF37" i="9"/>
  <c r="BB37" i="9"/>
  <c r="BD37" i="9"/>
  <c r="AH27" i="9"/>
  <c r="AN27" i="9"/>
  <c r="AL27" i="9"/>
  <c r="AJ27" i="9"/>
  <c r="AF27" i="9"/>
  <c r="AC146" i="9"/>
  <c r="AZ81" i="11"/>
  <c r="AW72" i="9"/>
  <c r="AD44" i="9"/>
  <c r="K30" i="11"/>
  <c r="AF114" i="11"/>
  <c r="BE34" i="11"/>
  <c r="BC34" i="11"/>
  <c r="BI34" i="11"/>
  <c r="AX34" i="11"/>
  <c r="BG34" i="11"/>
  <c r="BA34" i="11"/>
  <c r="AW75" i="9"/>
  <c r="I45" i="11"/>
  <c r="BJ26" i="11"/>
  <c r="BH26" i="11"/>
  <c r="BF26" i="11"/>
  <c r="BD26" i="11"/>
  <c r="BB26" i="11"/>
  <c r="AF141" i="11"/>
  <c r="AZ64" i="11"/>
  <c r="AD124" i="9"/>
  <c r="AD67" i="9"/>
  <c r="AW76" i="9"/>
  <c r="AD51" i="9"/>
  <c r="AZ78" i="11"/>
  <c r="AD72" i="11"/>
  <c r="J26" i="9"/>
  <c r="AD132" i="9"/>
  <c r="J25" i="9"/>
  <c r="AX52" i="9"/>
  <c r="AN26" i="9"/>
  <c r="AF26" i="9"/>
  <c r="AL26" i="9"/>
  <c r="AJ26" i="9"/>
  <c r="AH26" i="9"/>
  <c r="BC37" i="11"/>
  <c r="AX37" i="11"/>
  <c r="BI37" i="11"/>
  <c r="BG37" i="11"/>
  <c r="BA37" i="11"/>
  <c r="BE37" i="11"/>
  <c r="AC103" i="9"/>
  <c r="AF131" i="11"/>
  <c r="AC67" i="9"/>
  <c r="AD141" i="9"/>
  <c r="AZ57" i="11"/>
  <c r="AW65" i="9"/>
  <c r="AF91" i="11"/>
  <c r="AC91" i="9"/>
  <c r="AD116" i="9"/>
  <c r="K26" i="11"/>
  <c r="AD147" i="11"/>
  <c r="AD79" i="11"/>
  <c r="AC66" i="9"/>
  <c r="AW57" i="9"/>
  <c r="AW67" i="9"/>
  <c r="AY51" i="11"/>
  <c r="AF97" i="11"/>
  <c r="AX78" i="9"/>
  <c r="AC70" i="9"/>
  <c r="I21" i="9"/>
  <c r="BA37" i="9"/>
  <c r="AY37" i="9"/>
  <c r="BG37" i="9"/>
  <c r="AV37" i="9"/>
  <c r="BE37" i="9"/>
  <c r="BC37" i="9"/>
  <c r="AZ65" i="11"/>
  <c r="AN33" i="9"/>
  <c r="AF33" i="9"/>
  <c r="AL33" i="9"/>
  <c r="AJ33" i="9"/>
  <c r="AH33" i="9"/>
  <c r="AC150" i="9"/>
  <c r="AX29" i="11"/>
  <c r="BC29" i="11"/>
  <c r="BA29" i="11"/>
  <c r="BI29" i="11"/>
  <c r="BE29" i="11"/>
  <c r="BG29" i="11"/>
  <c r="AZ72" i="11"/>
  <c r="AF76" i="11"/>
  <c r="AZ71" i="11"/>
  <c r="AD91" i="11"/>
  <c r="AX83" i="9"/>
  <c r="BG20" i="11"/>
  <c r="AX20" i="11"/>
  <c r="BE20" i="11"/>
  <c r="BC20" i="11"/>
  <c r="BA20" i="11"/>
  <c r="BI20" i="11"/>
  <c r="AC89" i="9"/>
  <c r="AC113" i="9"/>
  <c r="AC134" i="9"/>
  <c r="K68" i="11"/>
  <c r="AY70" i="11"/>
  <c r="AD96" i="9"/>
  <c r="AC144" i="9"/>
  <c r="K79" i="11"/>
  <c r="BJ34" i="11"/>
  <c r="BH34" i="11"/>
  <c r="BF34" i="11"/>
  <c r="BD34" i="11"/>
  <c r="BB34" i="11"/>
  <c r="I80" i="9"/>
  <c r="AZ76" i="11"/>
  <c r="AD118" i="11"/>
  <c r="AF134" i="11"/>
  <c r="AY67" i="11"/>
  <c r="AD114" i="11"/>
  <c r="AZ58" i="11"/>
  <c r="I30" i="9"/>
  <c r="AJ35" i="9"/>
  <c r="AN35" i="9"/>
  <c r="AL35" i="9"/>
  <c r="AH35" i="9"/>
  <c r="AF35" i="9"/>
  <c r="BI30" i="11"/>
  <c r="BA30" i="11"/>
  <c r="BG30" i="11"/>
  <c r="AX30" i="11"/>
  <c r="BE30" i="11"/>
  <c r="BC30" i="11"/>
  <c r="K34" i="11"/>
  <c r="AY60" i="11"/>
  <c r="AF123" i="11"/>
  <c r="AD71" i="11"/>
  <c r="I24" i="9"/>
  <c r="AY33" i="9"/>
  <c r="BG33" i="9"/>
  <c r="BE33" i="9"/>
  <c r="AV33" i="9"/>
  <c r="BC33" i="9"/>
  <c r="BA33" i="9"/>
  <c r="AN22" i="9"/>
  <c r="AF22" i="9"/>
  <c r="AL22" i="9"/>
  <c r="AH22" i="9"/>
  <c r="AJ22" i="9"/>
  <c r="BF27" i="11"/>
  <c r="BD27" i="11"/>
  <c r="BH27" i="11"/>
  <c r="BJ27" i="11"/>
  <c r="BB27" i="11"/>
  <c r="BA25" i="11"/>
  <c r="BI25" i="11"/>
  <c r="BG25" i="11"/>
  <c r="BE25" i="11"/>
  <c r="BC25" i="11"/>
  <c r="AX25" i="11"/>
  <c r="BF36" i="11"/>
  <c r="BD36" i="11"/>
  <c r="BJ36" i="11"/>
  <c r="BB36" i="11"/>
  <c r="BH36" i="11"/>
  <c r="AX27" i="11"/>
  <c r="BI27" i="11"/>
  <c r="BG27" i="11"/>
  <c r="BC27" i="11"/>
  <c r="BE27" i="11"/>
  <c r="BA27" i="11"/>
  <c r="AD103" i="11"/>
  <c r="AX60" i="9"/>
  <c r="AZ49" i="11"/>
  <c r="AW84" i="9"/>
  <c r="AH34" i="9"/>
  <c r="AN34" i="9"/>
  <c r="AL34" i="9"/>
  <c r="AJ34" i="9"/>
  <c r="AF34" i="9"/>
  <c r="AY84" i="11"/>
  <c r="AD60" i="9"/>
  <c r="K51" i="11"/>
  <c r="AJ20" i="9"/>
  <c r="AH20" i="9"/>
  <c r="AF20" i="9"/>
  <c r="AN20" i="9"/>
  <c r="AL20" i="9"/>
  <c r="AY73" i="11"/>
  <c r="AI27" i="9"/>
  <c r="AG27" i="9"/>
  <c r="AM27" i="9"/>
  <c r="AE27" i="9"/>
  <c r="AK27" i="9"/>
  <c r="AB27" i="9"/>
  <c r="AX77" i="9"/>
  <c r="AF98" i="11"/>
  <c r="AX19" i="11"/>
  <c r="BE19" i="11"/>
  <c r="BI19" i="11"/>
  <c r="BG19" i="11"/>
  <c r="BA19" i="11"/>
  <c r="BC19" i="11"/>
  <c r="AF73" i="11"/>
  <c r="AD77" i="9"/>
  <c r="AD126" i="9"/>
  <c r="BD28" i="11"/>
  <c r="BB28" i="11"/>
  <c r="BJ28" i="11"/>
  <c r="BH28" i="11"/>
  <c r="BF28" i="11"/>
  <c r="AY78" i="11"/>
  <c r="I28" i="9"/>
  <c r="AD135" i="9"/>
  <c r="BD39" i="9"/>
  <c r="BB39" i="9"/>
  <c r="BH39" i="9"/>
  <c r="BF39" i="9"/>
  <c r="AZ39" i="9"/>
  <c r="AM21" i="9"/>
  <c r="AE21" i="9"/>
  <c r="AK21" i="9"/>
  <c r="AI21" i="9"/>
  <c r="AG21" i="9"/>
  <c r="AB21" i="9"/>
  <c r="BF32" i="11"/>
  <c r="BD32" i="11"/>
  <c r="BJ32" i="11"/>
  <c r="BH32" i="11"/>
  <c r="BB32" i="11"/>
  <c r="AJ24" i="9"/>
  <c r="AN24" i="9"/>
  <c r="AH24" i="9"/>
  <c r="AL24" i="9"/>
  <c r="AF24" i="9"/>
  <c r="AF137" i="11"/>
  <c r="AD140" i="11"/>
  <c r="AC100" i="9"/>
  <c r="AD70" i="11"/>
  <c r="AD80" i="11"/>
  <c r="AF94" i="11"/>
  <c r="AZ52" i="11"/>
  <c r="K19" i="11"/>
  <c r="AD131" i="11"/>
  <c r="AG26" i="9"/>
  <c r="AM26" i="9"/>
  <c r="AE26" i="9"/>
  <c r="AK26" i="9"/>
  <c r="AI26" i="9"/>
  <c r="AB26" i="9"/>
  <c r="AD99" i="11"/>
  <c r="AY59" i="11"/>
  <c r="AD120" i="11"/>
  <c r="AY35" i="9"/>
  <c r="BG35" i="9"/>
  <c r="BE35" i="9"/>
  <c r="BC35" i="9"/>
  <c r="BA35" i="9"/>
  <c r="AV35" i="9"/>
  <c r="AD139" i="11"/>
  <c r="AD141" i="11"/>
  <c r="AY71" i="11"/>
  <c r="AF104" i="11"/>
  <c r="AD137" i="9"/>
  <c r="AF118" i="11"/>
  <c r="AZ83" i="11"/>
  <c r="I20" i="9"/>
  <c r="AD124" i="11"/>
  <c r="AZ75" i="11"/>
  <c r="AD59" i="9"/>
  <c r="I19" i="9"/>
  <c r="AX80" i="9"/>
  <c r="BF19" i="11"/>
  <c r="BD19" i="11"/>
  <c r="BJ19" i="11"/>
  <c r="BB19" i="11"/>
  <c r="BH19" i="11"/>
  <c r="AF112" i="11"/>
  <c r="BF30" i="9"/>
  <c r="AZ30" i="9"/>
  <c r="BB30" i="9"/>
  <c r="BD30" i="9"/>
  <c r="BH30" i="9"/>
  <c r="AV38" i="9"/>
  <c r="BE38" i="9"/>
  <c r="BC38" i="9"/>
  <c r="AY38" i="9"/>
  <c r="BG38" i="9"/>
  <c r="BA38" i="9"/>
  <c r="AF68" i="11"/>
  <c r="AC145" i="9"/>
  <c r="AY66" i="11"/>
  <c r="AF66" i="11"/>
  <c r="AC74" i="9"/>
  <c r="AV39" i="9"/>
  <c r="BG39" i="9"/>
  <c r="BC39" i="9"/>
  <c r="BE39" i="9"/>
  <c r="BA39" i="9"/>
  <c r="AY39" i="9"/>
  <c r="AZ60" i="11"/>
  <c r="AL21" i="9"/>
  <c r="AJ21" i="9"/>
  <c r="AH21" i="9"/>
  <c r="AF21" i="9"/>
  <c r="AN21" i="9"/>
  <c r="BC32" i="11"/>
  <c r="BI32" i="11"/>
  <c r="BA32" i="11"/>
  <c r="BE32" i="11"/>
  <c r="AX32" i="11"/>
  <c r="BG32" i="11"/>
  <c r="AW66" i="9"/>
  <c r="AC119" i="9"/>
  <c r="K45" i="11"/>
  <c r="AF89" i="11"/>
  <c r="AY54" i="11"/>
  <c r="AF133" i="11"/>
  <c r="AD112" i="11"/>
  <c r="BG26" i="9"/>
  <c r="AY26" i="9"/>
  <c r="BE26" i="9"/>
  <c r="BC26" i="9"/>
  <c r="AV26" i="9"/>
  <c r="BA26" i="9"/>
  <c r="AF120" i="11"/>
  <c r="I27" i="9"/>
  <c r="AD139" i="9"/>
  <c r="AC141" i="9"/>
  <c r="AC143" i="9"/>
  <c r="AZ77" i="11"/>
  <c r="BF26" i="9"/>
  <c r="BH26" i="9"/>
  <c r="BB26" i="9"/>
  <c r="AZ26" i="9"/>
  <c r="BD26" i="9"/>
  <c r="AD102" i="11"/>
  <c r="AD67" i="11"/>
  <c r="AX65" i="9"/>
  <c r="K23" i="11"/>
  <c r="AZ59" i="11"/>
  <c r="AD69" i="9"/>
  <c r="AD136" i="11"/>
  <c r="AD115" i="11"/>
  <c r="AF75" i="11"/>
  <c r="AY76" i="11"/>
  <c r="AD144" i="11"/>
  <c r="AC94" i="9"/>
  <c r="AF105" i="11"/>
  <c r="AD143" i="9"/>
  <c r="AY75" i="11"/>
  <c r="AX51" i="9"/>
  <c r="AD130" i="11"/>
  <c r="AY81" i="11"/>
  <c r="AY69" i="11"/>
  <c r="AW56" i="9"/>
  <c r="AX70" i="9"/>
  <c r="AW85" i="9"/>
  <c r="AD93" i="9"/>
  <c r="K20" i="11"/>
  <c r="AD149" i="11"/>
  <c r="AD147" i="9"/>
  <c r="AK28" i="9"/>
  <c r="AB28" i="9"/>
  <c r="AI28" i="9"/>
  <c r="AG28" i="9"/>
  <c r="AE28" i="9"/>
  <c r="AM28" i="9"/>
  <c r="AD111" i="9"/>
  <c r="AX66" i="9"/>
  <c r="AC98" i="9"/>
  <c r="AY49" i="11"/>
  <c r="AF80" i="11"/>
  <c r="BE29" i="9"/>
  <c r="AV29" i="9"/>
  <c r="BC29" i="9"/>
  <c r="BA29" i="9"/>
  <c r="BG29" i="9"/>
  <c r="AY29" i="9"/>
  <c r="K28" i="11"/>
  <c r="AM33" i="9"/>
  <c r="AK33" i="9"/>
  <c r="AB33" i="9"/>
  <c r="AI33" i="9"/>
  <c r="AE33" i="9"/>
  <c r="AG33" i="9"/>
  <c r="AC104" i="9"/>
  <c r="BH29" i="11"/>
  <c r="BF29" i="11"/>
  <c r="BB29" i="11"/>
  <c r="BD29" i="11"/>
  <c r="BJ29" i="11"/>
  <c r="AC137" i="9"/>
  <c r="AD143" i="11"/>
  <c r="BE21" i="9"/>
  <c r="AV21" i="9"/>
  <c r="BC21" i="9"/>
  <c r="BA21" i="9"/>
  <c r="AY21" i="9"/>
  <c r="BG21" i="9"/>
  <c r="AI23" i="9"/>
  <c r="AG23" i="9"/>
  <c r="AM23" i="9"/>
  <c r="AE23" i="9"/>
  <c r="AK23" i="9"/>
  <c r="AB23" i="9"/>
  <c r="BF20" i="11"/>
  <c r="BB20" i="11"/>
  <c r="BJ20" i="11"/>
  <c r="BH20" i="11"/>
  <c r="BD20" i="11"/>
  <c r="AD148" i="9"/>
  <c r="AX79" i="9"/>
  <c r="AY52" i="11"/>
  <c r="AD98" i="9"/>
  <c r="AC139" i="9"/>
  <c r="AF93" i="11"/>
  <c r="AD69" i="11"/>
  <c r="AF148" i="11"/>
  <c r="AC138" i="9"/>
  <c r="AD116" i="11"/>
  <c r="AM25" i="9"/>
  <c r="AE25" i="9"/>
  <c r="AK25" i="9"/>
  <c r="AI25" i="9"/>
  <c r="AG25" i="9"/>
  <c r="AB25" i="9"/>
  <c r="AZ84" i="11"/>
  <c r="AC93" i="9"/>
  <c r="AD138" i="11"/>
  <c r="AZ80" i="11"/>
  <c r="K71" i="11"/>
  <c r="I22" i="9"/>
  <c r="AC96" i="9"/>
  <c r="AD50" i="9"/>
  <c r="AB35" i="9"/>
  <c r="AE35" i="9"/>
  <c r="AM35" i="9"/>
  <c r="AI35" i="9"/>
  <c r="AK35" i="9"/>
  <c r="AG35" i="9"/>
  <c r="BJ30" i="11"/>
  <c r="BH30" i="11"/>
  <c r="BF30" i="11"/>
  <c r="BD30" i="11"/>
  <c r="BB30" i="11"/>
  <c r="AX71" i="9"/>
  <c r="AY47" i="11"/>
  <c r="AF65" i="11"/>
  <c r="AD78" i="11"/>
  <c r="AD125" i="9"/>
  <c r="BA31" i="9"/>
  <c r="BG31" i="9"/>
  <c r="AY31" i="9"/>
  <c r="BE31" i="9"/>
  <c r="BC31" i="9"/>
  <c r="AV31" i="9"/>
  <c r="AL32" i="9"/>
  <c r="AN32" i="9"/>
  <c r="AJ32" i="9"/>
  <c r="AF32" i="9"/>
  <c r="AH32" i="9"/>
  <c r="BI22" i="11"/>
  <c r="BA22" i="11"/>
  <c r="BG22" i="11"/>
  <c r="BE22" i="11"/>
  <c r="AX22" i="11"/>
  <c r="BC22" i="11"/>
  <c r="AW71" i="9"/>
  <c r="AD115" i="9"/>
  <c r="J27" i="9"/>
  <c r="AD97" i="11"/>
  <c r="AW73" i="9"/>
  <c r="BF22" i="9"/>
  <c r="BD22" i="9"/>
  <c r="AZ22" i="9"/>
  <c r="BH22" i="9"/>
  <c r="BB22" i="9"/>
  <c r="AX82" i="9"/>
  <c r="AF67" i="11"/>
  <c r="BC33" i="11"/>
  <c r="BA33" i="11"/>
  <c r="AX33" i="11"/>
  <c r="BE33" i="11"/>
  <c r="BI33" i="11"/>
  <c r="BG33" i="11"/>
  <c r="AF64" i="11"/>
  <c r="AD65" i="11"/>
  <c r="AD131" i="9"/>
  <c r="AD136" i="9"/>
  <c r="AX45" i="9"/>
  <c r="AZ85" i="11"/>
  <c r="BE25" i="9"/>
  <c r="AV25" i="9"/>
  <c r="BC25" i="9"/>
  <c r="BA25" i="9"/>
  <c r="BG25" i="9"/>
  <c r="AY25" i="9"/>
  <c r="AC80" i="9"/>
  <c r="AZ67" i="11"/>
  <c r="J29" i="9"/>
  <c r="AF69" i="11"/>
  <c r="AY83" i="11"/>
  <c r="BC24" i="11"/>
  <c r="BI24" i="11"/>
  <c r="BA24" i="11"/>
  <c r="BG24" i="11"/>
  <c r="AX24" i="11"/>
  <c r="BE24" i="11"/>
  <c r="AC140" i="9"/>
  <c r="AD98" i="11"/>
  <c r="AD134" i="9"/>
  <c r="AF103" i="11"/>
  <c r="AC69" i="9"/>
  <c r="BD32" i="9"/>
  <c r="BH32" i="9"/>
  <c r="BF32" i="9"/>
  <c r="BB32" i="9"/>
  <c r="AZ32" i="9"/>
  <c r="AF115" i="11"/>
  <c r="AD110" i="9"/>
  <c r="BG21" i="11"/>
  <c r="AX21" i="11"/>
  <c r="BI21" i="11"/>
  <c r="BE21" i="11"/>
  <c r="BC21" i="11"/>
  <c r="BA21" i="11"/>
  <c r="AD92" i="11"/>
  <c r="AD90" i="11"/>
  <c r="AF130" i="11"/>
  <c r="AZ50" i="11"/>
  <c r="AX54" i="9"/>
  <c r="AW78" i="9"/>
  <c r="AC110" i="9"/>
  <c r="AD76" i="11"/>
  <c r="AF119" i="11"/>
  <c r="I26" i="9"/>
  <c r="AF135" i="11"/>
  <c r="AZ55" i="11"/>
  <c r="AD100" i="11"/>
  <c r="AC135" i="9"/>
  <c r="AC50" i="9"/>
  <c r="AI19" i="9"/>
  <c r="AG19" i="9"/>
  <c r="AM19" i="9"/>
  <c r="AE19" i="9"/>
  <c r="AK19" i="9"/>
  <c r="AB19" i="9"/>
  <c r="BJ38" i="11"/>
  <c r="BB38" i="11"/>
  <c r="BH38" i="11"/>
  <c r="BF38" i="11"/>
  <c r="BD38" i="11"/>
  <c r="AD99" i="9"/>
  <c r="AF116" i="11"/>
  <c r="BJ23" i="11"/>
  <c r="BB23" i="11"/>
  <c r="BH23" i="11"/>
  <c r="BF23" i="11"/>
  <c r="BD23" i="11"/>
  <c r="I29" i="9"/>
  <c r="AD74" i="11"/>
  <c r="AY55" i="11"/>
  <c r="BB36" i="9"/>
  <c r="BH36" i="9"/>
  <c r="AZ36" i="9"/>
  <c r="BF36" i="9"/>
  <c r="BD36" i="9"/>
  <c r="AG30" i="9"/>
  <c r="AM30" i="9"/>
  <c r="AE30" i="9"/>
  <c r="AK30" i="9"/>
  <c r="AB30" i="9"/>
  <c r="AI30" i="9"/>
  <c r="AY77" i="11"/>
  <c r="BB28" i="9"/>
  <c r="BH28" i="9"/>
  <c r="BD28" i="9"/>
  <c r="BF28" i="9"/>
  <c r="AZ28" i="9"/>
  <c r="BH39" i="11"/>
  <c r="BF39" i="11"/>
  <c r="BD39" i="11"/>
  <c r="BJ39" i="11"/>
  <c r="BB39" i="11"/>
  <c r="BH19" i="9"/>
  <c r="AZ19" i="9"/>
  <c r="BB19" i="9"/>
  <c r="BD19" i="9"/>
  <c r="BF19" i="9"/>
  <c r="BB20" i="9"/>
  <c r="BH20" i="9"/>
  <c r="BF20" i="9"/>
  <c r="BD20" i="9"/>
  <c r="AZ20" i="9"/>
  <c r="AH31" i="9"/>
  <c r="AN31" i="9"/>
  <c r="AF31" i="9"/>
  <c r="AL31" i="9"/>
  <c r="AJ31" i="9"/>
  <c r="AM29" i="9"/>
  <c r="AE29" i="9"/>
  <c r="AK29" i="9"/>
  <c r="AI29" i="9"/>
  <c r="AG29" i="9"/>
  <c r="AB29" i="9"/>
  <c r="AK20" i="9"/>
  <c r="AB20" i="9"/>
  <c r="AI20" i="9"/>
  <c r="AG20" i="9"/>
  <c r="AM20" i="9"/>
  <c r="AE20" i="9"/>
  <c r="BH27" i="9"/>
  <c r="AZ27" i="9"/>
  <c r="BD27" i="9"/>
  <c r="BB27" i="9"/>
  <c r="BF27" i="9"/>
  <c r="BG28" i="11"/>
  <c r="BE28" i="11"/>
  <c r="BC28" i="11"/>
  <c r="AX28" i="11"/>
  <c r="BI28" i="11"/>
  <c r="BA28" i="11"/>
  <c r="BA23" i="9"/>
  <c r="BG23" i="9"/>
  <c r="AY23" i="9"/>
  <c r="BE23" i="9"/>
  <c r="BC23" i="9"/>
  <c r="AV23" i="9"/>
  <c r="AK24" i="9"/>
  <c r="AB24" i="9"/>
  <c r="AI24" i="9"/>
  <c r="AG24" i="9"/>
  <c r="AE24" i="9"/>
  <c r="AM24" i="9"/>
  <c r="AD91" i="9"/>
  <c r="AD89" i="11"/>
  <c r="BB35" i="9"/>
  <c r="BH35" i="9"/>
  <c r="BF35" i="9"/>
  <c r="BD35" i="9"/>
  <c r="AZ35" i="9"/>
  <c r="AX69" i="9"/>
  <c r="BC24" i="9"/>
  <c r="BA24" i="9"/>
  <c r="BG24" i="9"/>
  <c r="AY24" i="9"/>
  <c r="AV24" i="9"/>
  <c r="BE24" i="9"/>
  <c r="AW82" i="9"/>
  <c r="AC111" i="9"/>
  <c r="AF99" i="11"/>
  <c r="BH31" i="9"/>
  <c r="AZ31" i="9"/>
  <c r="BF31" i="9"/>
  <c r="BD31" i="9"/>
  <c r="BB31" i="9"/>
  <c r="AC99" i="9"/>
  <c r="AD118" i="9"/>
  <c r="AC102" i="9"/>
  <c r="K25" i="11"/>
  <c r="AW69" i="9"/>
  <c r="BG22" i="9"/>
  <c r="AY22" i="9"/>
  <c r="BE22" i="9"/>
  <c r="BC22" i="9"/>
  <c r="BA22" i="9"/>
  <c r="AV22" i="9"/>
  <c r="AC55" i="9"/>
  <c r="AD150" i="9"/>
  <c r="BD33" i="11"/>
  <c r="BJ33" i="11"/>
  <c r="BB33" i="11"/>
  <c r="BH33" i="11"/>
  <c r="BF33" i="11"/>
  <c r="AY72" i="11"/>
  <c r="AC125" i="9"/>
  <c r="AZ51" i="11"/>
  <c r="BJ24" i="11"/>
  <c r="BB24" i="11"/>
  <c r="BH24" i="11"/>
  <c r="BF24" i="11"/>
  <c r="BD24" i="11"/>
  <c r="AF117" i="11"/>
  <c r="AF144" i="11"/>
  <c r="AJ28" i="9"/>
  <c r="AF28" i="9"/>
  <c r="AH28" i="9"/>
  <c r="AN28" i="9"/>
  <c r="AL28" i="9"/>
  <c r="AD117" i="9"/>
  <c r="AW70" i="9"/>
  <c r="BD29" i="9"/>
  <c r="AZ29" i="9"/>
  <c r="BF29" i="9"/>
  <c r="BB29" i="9"/>
  <c r="BH29" i="9"/>
  <c r="AD104" i="11"/>
  <c r="AX85" i="9"/>
  <c r="BH21" i="11"/>
  <c r="BF21" i="11"/>
  <c r="BD21" i="11"/>
  <c r="BJ21" i="11"/>
  <c r="BB21" i="11"/>
  <c r="J28" i="9"/>
  <c r="BD21" i="9"/>
  <c r="BB21" i="9"/>
  <c r="AZ21" i="9"/>
  <c r="BF21" i="9"/>
  <c r="BH21" i="9"/>
  <c r="AH23" i="9"/>
  <c r="AL23" i="9"/>
  <c r="AF23" i="9"/>
  <c r="AJ23" i="9"/>
  <c r="AN23" i="9"/>
  <c r="AD121" i="11"/>
  <c r="AY79" i="11"/>
  <c r="AC115" i="9"/>
  <c r="AD112" i="9"/>
  <c r="AC79" i="9"/>
  <c r="AD121" i="9"/>
  <c r="AF70" i="11"/>
  <c r="AY82" i="11"/>
  <c r="AL25" i="9"/>
  <c r="AN25" i="9"/>
  <c r="AJ25" i="9"/>
  <c r="AH25" i="9"/>
  <c r="AF25" i="9"/>
  <c r="AC123" i="9"/>
  <c r="AD138" i="9"/>
  <c r="AC76" i="9"/>
  <c r="AC126" i="9"/>
  <c r="BI23" i="11"/>
  <c r="BA23" i="11"/>
  <c r="AX23" i="11"/>
  <c r="BE23" i="11"/>
  <c r="BC23" i="11"/>
  <c r="BG23" i="11"/>
  <c r="AF72" i="11"/>
  <c r="BC28" i="9"/>
  <c r="BA28" i="9"/>
  <c r="BG28" i="9"/>
  <c r="AY28" i="9"/>
  <c r="BE28" i="9"/>
  <c r="AV28" i="9"/>
  <c r="AW52" i="9"/>
  <c r="AD93" i="11"/>
  <c r="AD117" i="11"/>
  <c r="BB24" i="9"/>
  <c r="BD24" i="9"/>
  <c r="BF24" i="9"/>
  <c r="BH24" i="9"/>
  <c r="AZ24" i="9"/>
  <c r="BH35" i="11"/>
  <c r="BF35" i="11"/>
  <c r="BD35" i="11"/>
  <c r="BB35" i="11"/>
  <c r="BJ35" i="11"/>
  <c r="AX57" i="9"/>
  <c r="AX73" i="9"/>
  <c r="AD101" i="11"/>
  <c r="AD135" i="11"/>
  <c r="BF33" i="9"/>
  <c r="BH33" i="9"/>
  <c r="BD33" i="9"/>
  <c r="BB33" i="9"/>
  <c r="AZ33" i="9"/>
  <c r="AG22" i="9"/>
  <c r="AM22" i="9"/>
  <c r="AE22" i="9"/>
  <c r="AK22" i="9"/>
  <c r="AB22" i="9"/>
  <c r="AI22" i="9"/>
  <c r="BG35" i="11"/>
  <c r="AX35" i="11"/>
  <c r="BE35" i="11"/>
  <c r="BC35" i="11"/>
  <c r="BA35" i="11"/>
  <c r="BI35" i="11"/>
  <c r="AW51" i="9"/>
  <c r="AD95" i="11"/>
  <c r="AF100" i="11"/>
  <c r="J21" i="9"/>
  <c r="AE32" i="9"/>
  <c r="AM32" i="9"/>
  <c r="AK32" i="9"/>
  <c r="AB32" i="9"/>
  <c r="AI32" i="9"/>
  <c r="AG32" i="9"/>
  <c r="BH22" i="11"/>
  <c r="BF22" i="11"/>
  <c r="BB22" i="11"/>
  <c r="BJ22" i="11"/>
  <c r="BD22" i="11"/>
  <c r="AD77" i="11"/>
  <c r="BA19" i="9"/>
  <c r="BG19" i="9"/>
  <c r="AY19" i="9"/>
  <c r="BE19" i="9"/>
  <c r="AV19" i="9"/>
  <c r="BC19" i="9"/>
  <c r="AF132" i="11"/>
  <c r="AF101" i="11"/>
  <c r="BC20" i="9"/>
  <c r="BA20" i="9"/>
  <c r="BG20" i="9"/>
  <c r="AY20" i="9"/>
  <c r="AV20" i="9"/>
  <c r="BE20" i="9"/>
  <c r="AI31" i="9"/>
  <c r="AG31" i="9"/>
  <c r="AM31" i="9"/>
  <c r="AE31" i="9"/>
  <c r="AB31" i="9"/>
  <c r="AK31" i="9"/>
  <c r="AF102" i="11"/>
  <c r="BD25" i="11"/>
  <c r="BJ25" i="11"/>
  <c r="BH25" i="11"/>
  <c r="BF25" i="11"/>
  <c r="BB25" i="11"/>
  <c r="AW81" i="9"/>
  <c r="AF140" i="11"/>
  <c r="AD79" i="9"/>
  <c r="BD25" i="9"/>
  <c r="BF25" i="9"/>
  <c r="BB25" i="9"/>
  <c r="AZ25" i="9"/>
  <c r="BH25" i="9"/>
  <c r="AY56" i="11"/>
  <c r="AW77" i="9"/>
  <c r="AF138" i="11"/>
  <c r="AD145" i="9"/>
  <c r="AD66" i="11"/>
  <c r="AD66" i="9"/>
  <c r="AZ79" i="11"/>
  <c r="BH34" i="9"/>
  <c r="AZ34" i="9"/>
  <c r="BF34" i="9"/>
  <c r="BD34" i="9"/>
  <c r="BB34" i="9"/>
  <c r="BG31" i="11"/>
  <c r="BE31" i="11"/>
  <c r="BC31" i="11"/>
  <c r="BI31" i="11"/>
  <c r="BA31" i="11"/>
  <c r="AX31" i="11"/>
  <c r="AD137" i="11"/>
  <c r="AX56" i="9"/>
  <c r="AD150" i="11"/>
  <c r="AV32" i="9"/>
  <c r="AY32" i="9"/>
  <c r="BG32" i="9"/>
  <c r="BC32" i="9"/>
  <c r="BE32" i="9"/>
  <c r="BA32" i="9"/>
  <c r="AY57" i="11"/>
  <c r="AY53" i="11"/>
  <c r="AZ56" i="11"/>
  <c r="AF79" i="11"/>
  <c r="AZ69" i="11"/>
  <c r="AF96" i="11"/>
  <c r="AD144" i="9"/>
  <c r="AZ66" i="11"/>
  <c r="AC118" i="9"/>
  <c r="AX75" i="9"/>
  <c r="AZ68" i="11"/>
  <c r="AW54" i="9"/>
  <c r="AC44" i="9"/>
  <c r="BA27" i="9"/>
  <c r="BG27" i="9"/>
  <c r="AY27" i="9"/>
  <c r="BE27" i="9"/>
  <c r="BC27" i="9"/>
  <c r="AV27" i="9"/>
  <c r="AH19" i="9"/>
  <c r="AJ19" i="9"/>
  <c r="AL19" i="9"/>
  <c r="AF19" i="9"/>
  <c r="AN19" i="9"/>
  <c r="BI38" i="11"/>
  <c r="BA38" i="11"/>
  <c r="AX38" i="11"/>
  <c r="BG38" i="11"/>
  <c r="BE38" i="11"/>
  <c r="BC38" i="11"/>
  <c r="AC51" i="9"/>
  <c r="AC148" i="9"/>
  <c r="AD113" i="9"/>
  <c r="AD73" i="11"/>
  <c r="K31" i="11"/>
  <c r="AY68" i="11"/>
  <c r="AW64" i="9"/>
  <c r="AD113" i="11"/>
  <c r="BH23" i="9"/>
  <c r="AZ23" i="9"/>
  <c r="BB23" i="9"/>
  <c r="BF23" i="9"/>
  <c r="BD23" i="9"/>
  <c r="AD68" i="11"/>
  <c r="AZ82" i="11"/>
  <c r="I79" i="11"/>
  <c r="AX36" i="11"/>
  <c r="BE36" i="11"/>
  <c r="BA36" i="11"/>
  <c r="BI36" i="11"/>
  <c r="BG36" i="11"/>
  <c r="BC36" i="11"/>
  <c r="AD122" i="11"/>
  <c r="AC130" i="9"/>
  <c r="AF71" i="11"/>
  <c r="AY36" i="9"/>
  <c r="BG36" i="9"/>
  <c r="BE36" i="9"/>
  <c r="BA36" i="9"/>
  <c r="BC36" i="9"/>
  <c r="AV36" i="9"/>
  <c r="AN30" i="9"/>
  <c r="AF30" i="9"/>
  <c r="AH30" i="9"/>
  <c r="AL30" i="9"/>
  <c r="AJ30" i="9"/>
  <c r="AD78" i="9"/>
  <c r="BG39" i="11"/>
  <c r="AX39" i="11"/>
  <c r="BI39" i="11"/>
  <c r="BE39" i="11"/>
  <c r="BC39" i="11"/>
  <c r="BA39" i="11"/>
  <c r="AD23" i="9" l="1"/>
  <c r="AZ33" i="11"/>
  <c r="AD92" i="9"/>
  <c r="AZ25" i="11"/>
  <c r="AC31" i="9"/>
  <c r="AY36" i="11"/>
  <c r="AD101" i="9"/>
  <c r="AC90" i="9"/>
  <c r="AY31" i="11"/>
  <c r="AX34" i="9"/>
  <c r="AW19" i="9"/>
  <c r="AY23" i="11"/>
  <c r="AX29" i="9"/>
  <c r="AX31" i="9"/>
  <c r="AX27" i="9"/>
  <c r="AD31" i="9"/>
  <c r="AX36" i="9"/>
  <c r="AZ38" i="11"/>
  <c r="AW31" i="9"/>
  <c r="AZ30" i="11"/>
  <c r="AZ29" i="11"/>
  <c r="AX37" i="9"/>
  <c r="AD29" i="9"/>
  <c r="AC105" i="9"/>
  <c r="AC97" i="9"/>
  <c r="AD97" i="9"/>
  <c r="AW35" i="9"/>
  <c r="AZ32" i="11"/>
  <c r="AY26" i="11"/>
  <c r="AZ31" i="11"/>
  <c r="AC92" i="9"/>
  <c r="AD105" i="9"/>
  <c r="AY34" i="11"/>
  <c r="AC101" i="9"/>
  <c r="AD90" i="9"/>
  <c r="AC20" i="9"/>
  <c r="AX28" i="9"/>
  <c r="AW39" i="9"/>
  <c r="AZ36" i="11"/>
  <c r="AX20" i="9"/>
  <c r="AX19" i="9"/>
  <c r="AC30" i="9"/>
  <c r="AW29" i="9"/>
  <c r="AD24" i="9"/>
  <c r="AX39" i="9"/>
  <c r="AY27" i="11"/>
  <c r="AY25" i="11"/>
  <c r="AW33" i="9"/>
  <c r="AZ37" i="11"/>
  <c r="AW30" i="9"/>
  <c r="AC35" i="9"/>
  <c r="AC21" i="9"/>
  <c r="AX38" i="9"/>
  <c r="AW32" i="9"/>
  <c r="AX25" i="9"/>
  <c r="AX21" i="9"/>
  <c r="AX22" i="9"/>
  <c r="AC23" i="9"/>
  <c r="AZ19" i="11"/>
  <c r="AD34" i="9"/>
  <c r="AY20" i="11"/>
  <c r="AZ26" i="11"/>
  <c r="AY38" i="11"/>
  <c r="AY35" i="11"/>
  <c r="AC22" i="9"/>
  <c r="AX35" i="9"/>
  <c r="AC24" i="9"/>
  <c r="AW23" i="9"/>
  <c r="AC29" i="9"/>
  <c r="AC19" i="9"/>
  <c r="AY24" i="11"/>
  <c r="AW25" i="9"/>
  <c r="AY33" i="11"/>
  <c r="AY19" i="11"/>
  <c r="AD20" i="9"/>
  <c r="AZ27" i="11"/>
  <c r="AD22" i="9"/>
  <c r="AZ34" i="11"/>
  <c r="AY37" i="11"/>
  <c r="AD26" i="9"/>
  <c r="AZ35" i="11"/>
  <c r="AY32" i="11"/>
  <c r="AY39" i="11"/>
  <c r="AZ39" i="11"/>
  <c r="AW26" i="9"/>
  <c r="AD21" i="9"/>
  <c r="AC27" i="9"/>
  <c r="AW37" i="9"/>
  <c r="AW36" i="9"/>
  <c r="AX23" i="9"/>
  <c r="AZ22" i="11"/>
  <c r="AC32" i="9"/>
  <c r="AD25" i="9"/>
  <c r="AZ21" i="11"/>
  <c r="AZ24" i="11"/>
  <c r="AW22" i="9"/>
  <c r="AY22" i="11"/>
  <c r="AZ20" i="11"/>
  <c r="AX30" i="9"/>
  <c r="AZ28" i="11"/>
  <c r="AD33" i="9"/>
  <c r="AC34" i="9"/>
  <c r="AZ23" i="11"/>
  <c r="AD32" i="9"/>
  <c r="AX24" i="9"/>
  <c r="AC33" i="9"/>
  <c r="AY30" i="11"/>
  <c r="AD27" i="9"/>
  <c r="AW27" i="9"/>
  <c r="AD30" i="9"/>
  <c r="AD19" i="9"/>
  <c r="AW20" i="9"/>
  <c r="AX33" i="9"/>
  <c r="AW28" i="9"/>
  <c r="AD28" i="9"/>
  <c r="AW24" i="9"/>
  <c r="AY28" i="11"/>
  <c r="AY21" i="11"/>
  <c r="AX32" i="9"/>
  <c r="AC25" i="9"/>
  <c r="AW21" i="9"/>
  <c r="AC28" i="9"/>
  <c r="AX26" i="9"/>
  <c r="AW38" i="9"/>
  <c r="AC26" i="9"/>
  <c r="AD35" i="9"/>
  <c r="AY29" i="11"/>
  <c r="G170" i="4" l="1"/>
  <c r="F170" i="4"/>
  <c r="G169" i="4"/>
  <c r="F169" i="4"/>
  <c r="G168" i="4"/>
  <c r="F168" i="4"/>
  <c r="G167" i="4"/>
  <c r="F167" i="4"/>
  <c r="G166" i="4"/>
  <c r="F166" i="4"/>
  <c r="G165" i="4"/>
  <c r="F165" i="4"/>
  <c r="G164" i="4"/>
  <c r="F164" i="4"/>
  <c r="G163" i="4"/>
  <c r="F163" i="4"/>
  <c r="G162" i="4"/>
  <c r="F162" i="4"/>
  <c r="G161" i="4"/>
  <c r="F161" i="4"/>
  <c r="G160" i="4"/>
  <c r="F160" i="4"/>
  <c r="G159" i="4"/>
  <c r="F159" i="4"/>
  <c r="G158" i="4"/>
  <c r="F158" i="4"/>
  <c r="G157" i="4"/>
  <c r="F157" i="4"/>
  <c r="G156" i="4"/>
  <c r="F156" i="4"/>
  <c r="G155" i="4"/>
  <c r="F155" i="4"/>
  <c r="G154" i="4"/>
  <c r="F154" i="4"/>
  <c r="G153" i="4"/>
  <c r="F153" i="4"/>
  <c r="G152" i="4"/>
  <c r="F152" i="4"/>
  <c r="G151" i="4"/>
  <c r="F151" i="4"/>
  <c r="G150" i="4"/>
  <c r="F150" i="4"/>
  <c r="G149" i="4"/>
  <c r="F149" i="4"/>
  <c r="G148" i="4"/>
  <c r="F148" i="4"/>
  <c r="G144" i="4"/>
  <c r="F144" i="4"/>
  <c r="G143" i="4"/>
  <c r="F143" i="4"/>
  <c r="G142" i="4"/>
  <c r="F142" i="4"/>
  <c r="G141" i="4"/>
  <c r="F141" i="4"/>
  <c r="G140" i="4"/>
  <c r="F140" i="4"/>
  <c r="G139" i="4"/>
  <c r="F139" i="4"/>
  <c r="G138" i="4"/>
  <c r="F138" i="4"/>
  <c r="G137" i="4"/>
  <c r="F137" i="4"/>
  <c r="G136" i="4"/>
  <c r="F136" i="4"/>
  <c r="G135" i="4"/>
  <c r="F135" i="4"/>
  <c r="G134" i="4"/>
  <c r="F134" i="4"/>
  <c r="G133" i="4"/>
  <c r="F133" i="4"/>
  <c r="G132" i="4"/>
  <c r="F132" i="4"/>
  <c r="G131" i="4"/>
  <c r="F131" i="4"/>
  <c r="G130" i="4"/>
  <c r="F130" i="4"/>
  <c r="G129" i="4"/>
  <c r="F129" i="4"/>
  <c r="G128" i="4"/>
  <c r="F128" i="4"/>
  <c r="G127" i="4"/>
  <c r="F127" i="4"/>
  <c r="G126" i="4"/>
  <c r="F126" i="4"/>
  <c r="G122" i="4"/>
  <c r="F122" i="4"/>
  <c r="G121" i="4"/>
  <c r="F121" i="4"/>
  <c r="G120" i="4"/>
  <c r="F120" i="4"/>
  <c r="G119" i="4"/>
  <c r="F119" i="4"/>
  <c r="G118" i="4"/>
  <c r="F118" i="4"/>
  <c r="G117" i="4"/>
  <c r="F117" i="4"/>
  <c r="G116" i="4"/>
  <c r="F116" i="4"/>
  <c r="G115" i="4"/>
  <c r="F115" i="4"/>
  <c r="G114" i="4"/>
  <c r="F114" i="4"/>
  <c r="G113" i="4"/>
  <c r="F113" i="4"/>
  <c r="G112" i="4"/>
  <c r="F112" i="4"/>
  <c r="G111" i="4"/>
  <c r="F111" i="4"/>
  <c r="G110" i="4"/>
  <c r="F110" i="4"/>
  <c r="G109" i="4"/>
  <c r="F109" i="4"/>
  <c r="G108" i="4"/>
  <c r="F108" i="4"/>
  <c r="G107" i="4"/>
  <c r="F107" i="4"/>
  <c r="G106" i="4"/>
  <c r="F106" i="4"/>
  <c r="G105" i="4"/>
  <c r="F105" i="4"/>
  <c r="G104" i="4"/>
  <c r="F104" i="4"/>
  <c r="G103" i="4"/>
  <c r="F103" i="4"/>
  <c r="G102" i="4"/>
  <c r="F102" i="4"/>
  <c r="G101" i="4"/>
  <c r="F101" i="4"/>
  <c r="G100" i="4"/>
  <c r="F100" i="4"/>
  <c r="G99" i="4"/>
  <c r="F99" i="4"/>
  <c r="G98" i="4"/>
  <c r="F98" i="4"/>
  <c r="G97" i="4"/>
  <c r="F97" i="4"/>
  <c r="G96" i="4"/>
  <c r="F96" i="4"/>
  <c r="G95" i="4"/>
  <c r="F95" i="4"/>
  <c r="G94" i="4"/>
  <c r="F94" i="4"/>
  <c r="G93" i="4"/>
  <c r="F93" i="4"/>
  <c r="G92" i="4"/>
  <c r="F92" i="4"/>
  <c r="G91" i="4"/>
  <c r="F91" i="4"/>
  <c r="G90" i="4"/>
  <c r="F90" i="4"/>
  <c r="G89" i="4"/>
  <c r="F89" i="4"/>
  <c r="G88" i="4"/>
  <c r="F88" i="4"/>
  <c r="G87" i="4"/>
  <c r="F87" i="4"/>
  <c r="G83" i="4"/>
  <c r="F83" i="4"/>
  <c r="G82" i="4"/>
  <c r="F82" i="4"/>
  <c r="G81" i="4"/>
  <c r="F81" i="4"/>
  <c r="G80" i="4"/>
  <c r="F80" i="4"/>
  <c r="G79" i="4"/>
  <c r="F79" i="4"/>
  <c r="G78" i="4"/>
  <c r="F78" i="4"/>
  <c r="G77" i="4"/>
  <c r="F77" i="4"/>
  <c r="G76" i="4"/>
  <c r="F76" i="4"/>
  <c r="G75" i="4"/>
  <c r="F75" i="4"/>
  <c r="G74" i="4"/>
  <c r="F74" i="4"/>
  <c r="G73" i="4"/>
  <c r="F73" i="4"/>
  <c r="G72" i="4"/>
  <c r="F72" i="4"/>
  <c r="G71" i="4"/>
  <c r="F71" i="4"/>
  <c r="G70" i="4"/>
  <c r="F70" i="4"/>
  <c r="G69" i="4"/>
  <c r="F69" i="4"/>
  <c r="G68" i="4"/>
  <c r="F68" i="4"/>
  <c r="G67" i="4"/>
  <c r="F67" i="4"/>
  <c r="G66" i="4"/>
  <c r="F66" i="4"/>
  <c r="G65" i="4"/>
  <c r="F65" i="4"/>
  <c r="G64" i="4"/>
  <c r="F64" i="4"/>
  <c r="G63" i="4"/>
  <c r="F63" i="4"/>
  <c r="E59" i="4"/>
  <c r="D59" i="4"/>
  <c r="E58" i="4"/>
  <c r="D58" i="4"/>
  <c r="E57" i="4"/>
  <c r="D57" i="4"/>
  <c r="E56" i="4"/>
  <c r="D56" i="4"/>
  <c r="E55" i="4"/>
  <c r="D55" i="4"/>
  <c r="E54" i="4"/>
  <c r="D54" i="4"/>
  <c r="E53" i="4"/>
  <c r="D53" i="4"/>
  <c r="E52" i="4"/>
  <c r="D52" i="4"/>
  <c r="E51" i="4"/>
  <c r="D51" i="4"/>
  <c r="E50" i="4"/>
  <c r="D50" i="4"/>
  <c r="E49" i="4"/>
  <c r="D49" i="4"/>
  <c r="E48" i="4"/>
  <c r="D48" i="4"/>
  <c r="E47" i="4"/>
  <c r="D47" i="4"/>
  <c r="E46" i="4"/>
  <c r="D46" i="4"/>
  <c r="E45" i="4"/>
  <c r="D45" i="4"/>
  <c r="E44" i="4"/>
  <c r="D44" i="4"/>
  <c r="E43" i="4"/>
  <c r="D43" i="4"/>
  <c r="E42" i="4"/>
  <c r="D42" i="4"/>
  <c r="E41" i="4"/>
  <c r="D41" i="4"/>
  <c r="E40" i="4"/>
  <c r="D40" i="4"/>
  <c r="E39" i="4"/>
  <c r="D39" i="4"/>
  <c r="E38" i="4"/>
  <c r="D38" i="4"/>
  <c r="E37" i="4"/>
  <c r="D37" i="4"/>
  <c r="E36" i="4"/>
  <c r="D36" i="4"/>
  <c r="E35" i="4"/>
  <c r="D35" i="4"/>
  <c r="E34" i="4"/>
  <c r="D34" i="4"/>
  <c r="G30" i="4"/>
  <c r="F30" i="4"/>
  <c r="G29" i="4"/>
  <c r="F29" i="4"/>
  <c r="G28" i="4"/>
  <c r="F28" i="4"/>
  <c r="G27" i="4"/>
  <c r="F27" i="4"/>
  <c r="G26" i="4"/>
  <c r="F26" i="4"/>
  <c r="G25" i="4"/>
  <c r="F25" i="4"/>
  <c r="G24" i="4"/>
  <c r="F24" i="4"/>
  <c r="G23" i="4"/>
  <c r="F23" i="4"/>
  <c r="G22" i="4"/>
  <c r="F22" i="4"/>
  <c r="G21" i="4"/>
  <c r="F21" i="4"/>
  <c r="G20" i="4"/>
  <c r="F20" i="4"/>
  <c r="G19" i="4"/>
  <c r="F19" i="4"/>
  <c r="G18" i="4"/>
  <c r="F18" i="4"/>
  <c r="G17" i="4"/>
  <c r="F17" i="4"/>
  <c r="G16" i="4"/>
  <c r="F16" i="4"/>
  <c r="G15" i="4"/>
  <c r="F15" i="4"/>
  <c r="BD34" i="5" l="1"/>
  <c r="BD35" i="5"/>
  <c r="BD36" i="5"/>
  <c r="BD37" i="5"/>
  <c r="BD38" i="5"/>
  <c r="BD39" i="5"/>
  <c r="BD40" i="5"/>
  <c r="BD41" i="5"/>
  <c r="BD42" i="5"/>
  <c r="BD43" i="5"/>
  <c r="BD44" i="5"/>
  <c r="BD45" i="5"/>
  <c r="BD46" i="5"/>
  <c r="BB34" i="5"/>
  <c r="BB35" i="5"/>
  <c r="BB36" i="5"/>
  <c r="BB37" i="5"/>
  <c r="BB38" i="5"/>
  <c r="BB39" i="5"/>
  <c r="BB40" i="5"/>
  <c r="BB41" i="5"/>
  <c r="BB42" i="5"/>
  <c r="BB43" i="5"/>
  <c r="BB44" i="5"/>
  <c r="BB45" i="5"/>
  <c r="BB46" i="5"/>
  <c r="BD33" i="5"/>
  <c r="BB33" i="5"/>
  <c r="AV34" i="5"/>
  <c r="AV35" i="5"/>
  <c r="AV36" i="5"/>
  <c r="AV37" i="5"/>
  <c r="AV38" i="5"/>
  <c r="AV39" i="5"/>
  <c r="AV40" i="5"/>
  <c r="AV41" i="5"/>
  <c r="AV42" i="5"/>
  <c r="AV43" i="5"/>
  <c r="AV44" i="5"/>
  <c r="AV45" i="5"/>
  <c r="AV46" i="5"/>
  <c r="AV33" i="5"/>
  <c r="AT34" i="5"/>
  <c r="AT35" i="5"/>
  <c r="AT36" i="5"/>
  <c r="AT37" i="5"/>
  <c r="AT38" i="5"/>
  <c r="AT39" i="5"/>
  <c r="AT40" i="5"/>
  <c r="AT41" i="5"/>
  <c r="AT42" i="5"/>
  <c r="AT43" i="5"/>
  <c r="AT44" i="5"/>
  <c r="AT45" i="5"/>
  <c r="AT46" i="5"/>
  <c r="AT33" i="5"/>
  <c r="AN34" i="5"/>
  <c r="AN35" i="5"/>
  <c r="AN36" i="5"/>
  <c r="AN37" i="5"/>
  <c r="AN38" i="5"/>
  <c r="AN39" i="5"/>
  <c r="AN40" i="5"/>
  <c r="AN41" i="5"/>
  <c r="AN42" i="5"/>
  <c r="AN43" i="5"/>
  <c r="AN44" i="5"/>
  <c r="AN45" i="5"/>
  <c r="AN47" i="5"/>
  <c r="AN55" i="5" s="1"/>
  <c r="AN33" i="5"/>
  <c r="AL35" i="5"/>
  <c r="AL36" i="5"/>
  <c r="AL37" i="5"/>
  <c r="AL38" i="5"/>
  <c r="AL39" i="5"/>
  <c r="AL43" i="5"/>
  <c r="AL47" i="5"/>
  <c r="AL55" i="5" s="1"/>
  <c r="AL33" i="5"/>
  <c r="AF34" i="5"/>
  <c r="AF35" i="5"/>
  <c r="AF36" i="5"/>
  <c r="AF37" i="5"/>
  <c r="AF38" i="5"/>
  <c r="AF39" i="5"/>
  <c r="AF40" i="5"/>
  <c r="AF41" i="5"/>
  <c r="AF42" i="5"/>
  <c r="AF43" i="5"/>
  <c r="AF44" i="5"/>
  <c r="AF45" i="5"/>
  <c r="AF46" i="5"/>
  <c r="AF47" i="5"/>
  <c r="AD34" i="5"/>
  <c r="AD35" i="5"/>
  <c r="AD36" i="5"/>
  <c r="AD37" i="5"/>
  <c r="AD38" i="5"/>
  <c r="AD39" i="5"/>
  <c r="AD40" i="5"/>
  <c r="AD41" i="5"/>
  <c r="AD42" i="5"/>
  <c r="AD43" i="5"/>
  <c r="AD44" i="5"/>
  <c r="AD45" i="5"/>
  <c r="AD46" i="5"/>
  <c r="AD55" i="5" s="1"/>
  <c r="AD47" i="5"/>
  <c r="AF33" i="5"/>
  <c r="AD33" i="5"/>
  <c r="V34" i="5"/>
  <c r="V35" i="5"/>
  <c r="V37" i="5"/>
  <c r="V38" i="5"/>
  <c r="V39" i="5"/>
  <c r="V40" i="5"/>
  <c r="V41" i="5"/>
  <c r="V42" i="5"/>
  <c r="V43" i="5"/>
  <c r="V44" i="5"/>
  <c r="V45" i="5"/>
  <c r="X34" i="5"/>
  <c r="X35" i="5"/>
  <c r="X36" i="5"/>
  <c r="X37" i="5"/>
  <c r="X38" i="5"/>
  <c r="X39" i="5"/>
  <c r="X40" i="5"/>
  <c r="X41" i="5"/>
  <c r="X42" i="5"/>
  <c r="D35" i="3" s="1"/>
  <c r="X43" i="5"/>
  <c r="X44" i="5"/>
  <c r="X33" i="5"/>
  <c r="V33" i="5"/>
  <c r="P46" i="5"/>
  <c r="N46" i="5"/>
  <c r="H46" i="5"/>
  <c r="H55" i="5" s="1"/>
  <c r="F46" i="5"/>
  <c r="F55" i="5" s="1"/>
  <c r="P45" i="5"/>
  <c r="N45" i="5"/>
  <c r="H45" i="5"/>
  <c r="F45" i="5"/>
  <c r="P44" i="5"/>
  <c r="N44" i="5"/>
  <c r="H44" i="5"/>
  <c r="F44" i="5"/>
  <c r="P43" i="5"/>
  <c r="N43" i="5"/>
  <c r="H43" i="5"/>
  <c r="F43" i="5"/>
  <c r="P42" i="5"/>
  <c r="N42" i="5"/>
  <c r="H42" i="5"/>
  <c r="F42" i="5"/>
  <c r="P41" i="5"/>
  <c r="N41" i="5"/>
  <c r="H41" i="5"/>
  <c r="F41" i="5"/>
  <c r="P40" i="5"/>
  <c r="N40" i="5"/>
  <c r="H40" i="5"/>
  <c r="F40" i="5"/>
  <c r="P39" i="5"/>
  <c r="N39" i="5"/>
  <c r="H39" i="5"/>
  <c r="F39" i="5"/>
  <c r="P38" i="5"/>
  <c r="N38" i="5"/>
  <c r="H38" i="5"/>
  <c r="F38" i="5"/>
  <c r="P37" i="5"/>
  <c r="N37" i="5"/>
  <c r="H37" i="5"/>
  <c r="F37" i="5"/>
  <c r="P36" i="5"/>
  <c r="N36" i="5"/>
  <c r="H36" i="5"/>
  <c r="F36" i="5"/>
  <c r="P35" i="5"/>
  <c r="N35" i="5"/>
  <c r="H35" i="5"/>
  <c r="F35" i="5"/>
  <c r="P34" i="5"/>
  <c r="N34" i="5"/>
  <c r="H34" i="5"/>
  <c r="F34" i="5"/>
  <c r="P33" i="5"/>
  <c r="N33" i="5"/>
  <c r="H33" i="5"/>
  <c r="F33" i="5"/>
  <c r="AL19" i="5"/>
  <c r="AJ19" i="5"/>
  <c r="AA19" i="5"/>
  <c r="AA28" i="5" s="1"/>
  <c r="Y19" i="5"/>
  <c r="Y28" i="5" s="1"/>
  <c r="P19" i="5"/>
  <c r="P28" i="5" s="1"/>
  <c r="N19" i="5"/>
  <c r="AL18" i="5"/>
  <c r="AJ18" i="5"/>
  <c r="AA18" i="5"/>
  <c r="Y18" i="5"/>
  <c r="P18" i="5"/>
  <c r="N18" i="5"/>
  <c r="H18" i="5"/>
  <c r="F18" i="5"/>
  <c r="AL17" i="5"/>
  <c r="AJ17" i="5"/>
  <c r="AA17" i="5"/>
  <c r="Y17" i="5"/>
  <c r="P17" i="5"/>
  <c r="N17" i="5"/>
  <c r="H17" i="5"/>
  <c r="F17" i="5"/>
  <c r="AL16" i="5"/>
  <c r="AJ16" i="5"/>
  <c r="AA16" i="5"/>
  <c r="Y16" i="5"/>
  <c r="P16" i="5"/>
  <c r="N16" i="5"/>
  <c r="H16" i="5"/>
  <c r="F16" i="5"/>
  <c r="AL15" i="5"/>
  <c r="AJ15" i="5"/>
  <c r="AA15" i="5"/>
  <c r="Y15" i="5"/>
  <c r="P15" i="5"/>
  <c r="N15" i="5"/>
  <c r="H15" i="5"/>
  <c r="F15" i="5"/>
  <c r="BO14" i="5"/>
  <c r="AL14" i="5"/>
  <c r="AJ14" i="5"/>
  <c r="AA14" i="5"/>
  <c r="Y14" i="5"/>
  <c r="P14" i="5"/>
  <c r="N14" i="5"/>
  <c r="H14" i="5"/>
  <c r="F14" i="5"/>
  <c r="BO13" i="5"/>
  <c r="AL13" i="5"/>
  <c r="AJ13" i="5"/>
  <c r="AA13" i="5"/>
  <c r="Y13" i="5"/>
  <c r="P13" i="5"/>
  <c r="N13" i="5"/>
  <c r="H13" i="5"/>
  <c r="F13" i="5"/>
  <c r="AL12" i="5"/>
  <c r="AJ12" i="5"/>
  <c r="AA12" i="5"/>
  <c r="Y12" i="5"/>
  <c r="P12" i="5"/>
  <c r="N12" i="5"/>
  <c r="H12" i="5"/>
  <c r="F12" i="5"/>
  <c r="AL11" i="5"/>
  <c r="AJ11" i="5"/>
  <c r="AA11" i="5"/>
  <c r="Y11" i="5"/>
  <c r="P11" i="5"/>
  <c r="N11" i="5"/>
  <c r="H11" i="5"/>
  <c r="F11" i="5"/>
  <c r="AL10" i="5"/>
  <c r="AJ10" i="5"/>
  <c r="AA10" i="5"/>
  <c r="Y10" i="5"/>
  <c r="P10" i="5"/>
  <c r="N10" i="5"/>
  <c r="H10" i="5"/>
  <c r="F10" i="5"/>
  <c r="AL9" i="5"/>
  <c r="AJ9" i="5"/>
  <c r="AA9" i="5"/>
  <c r="Y9" i="5"/>
  <c r="P9" i="5"/>
  <c r="N9" i="5"/>
  <c r="H9" i="5"/>
  <c r="F9" i="5"/>
  <c r="BO8" i="5"/>
  <c r="AL8" i="5"/>
  <c r="AJ8" i="5"/>
  <c r="AA8" i="5"/>
  <c r="Y8" i="5"/>
  <c r="P8" i="5"/>
  <c r="N8" i="5"/>
  <c r="H8" i="5"/>
  <c r="F8" i="5"/>
  <c r="BO7" i="5"/>
  <c r="AL7" i="5"/>
  <c r="AJ7" i="5"/>
  <c r="AA7" i="5"/>
  <c r="Y7" i="5"/>
  <c r="P7" i="5"/>
  <c r="N7" i="5"/>
  <c r="H7" i="5"/>
  <c r="F7" i="5"/>
  <c r="AL6" i="5"/>
  <c r="AJ6" i="5"/>
  <c r="AA6" i="5"/>
  <c r="Y6" i="5"/>
  <c r="P6" i="5"/>
  <c r="N6" i="5"/>
  <c r="H6" i="5"/>
  <c r="F6" i="5"/>
  <c r="AF55" i="5" l="1"/>
  <c r="D34" i="3"/>
  <c r="D33" i="3"/>
  <c r="C34" i="3"/>
  <c r="U15" i="3"/>
  <c r="W25" i="1" s="1"/>
  <c r="W29" i="1" s="1"/>
  <c r="O31" i="3"/>
  <c r="U31" i="3"/>
  <c r="O15" i="3"/>
  <c r="V25" i="1" s="1"/>
  <c r="V29" i="1" s="1"/>
  <c r="C33" i="3"/>
  <c r="C36" i="3"/>
  <c r="C41" i="3" s="1"/>
  <c r="C35" i="3"/>
  <c r="D36" i="3"/>
  <c r="D41" i="3" s="1"/>
  <c r="C25" i="3"/>
  <c r="T31" i="3" l="1"/>
  <c r="T15" i="3"/>
  <c r="N31" i="3"/>
  <c r="N15" i="3"/>
  <c r="C24" i="3"/>
  <c r="C27" i="3" l="1"/>
  <c r="G24" i="3" s="1"/>
  <c r="G31" i="3" l="1"/>
  <c r="I31" i="3"/>
  <c r="H31" i="3"/>
  <c r="G15" i="3"/>
  <c r="H15" i="3"/>
  <c r="I15" i="3"/>
  <c r="G35" i="3"/>
  <c r="I19" i="3"/>
  <c r="I35" i="3"/>
  <c r="H35" i="3"/>
  <c r="G19" i="3"/>
  <c r="H19" i="3"/>
  <c r="H66" i="3"/>
  <c r="I66" i="3"/>
  <c r="G66" i="3"/>
  <c r="G23" i="3"/>
  <c r="H39" i="3"/>
  <c r="I39" i="3"/>
  <c r="G39" i="3"/>
  <c r="I23" i="3"/>
  <c r="H23" i="3"/>
  <c r="H40" i="3"/>
  <c r="I40" i="3"/>
  <c r="G40" i="3"/>
  <c r="H24" i="3"/>
  <c r="I24" i="3"/>
  <c r="G61" i="3"/>
  <c r="H61" i="3"/>
  <c r="I61" i="3"/>
  <c r="G58" i="3"/>
  <c r="H58" i="3"/>
  <c r="I58" i="3"/>
  <c r="G62" i="3"/>
  <c r="I62" i="3"/>
  <c r="H62" i="3"/>
  <c r="H67" i="3"/>
  <c r="I59" i="3"/>
  <c r="H59" i="3"/>
  <c r="G59" i="3"/>
  <c r="G67" i="3"/>
  <c r="I67" i="3"/>
  <c r="U27" i="1" l="1"/>
  <c r="U25" i="1"/>
  <c r="U24" i="1"/>
  <c r="U26" i="1"/>
  <c r="I72" i="3"/>
  <c r="I76" i="3" s="1"/>
  <c r="I85" i="3" s="1"/>
  <c r="H72" i="3"/>
  <c r="H77" i="3" s="1"/>
  <c r="H86" i="3" s="1"/>
  <c r="G72" i="3"/>
  <c r="G73" i="3" s="1"/>
  <c r="G82" i="3" s="1"/>
  <c r="U29" i="1" l="1"/>
  <c r="U28" i="1"/>
  <c r="H75" i="3"/>
  <c r="H84" i="3" s="1"/>
  <c r="H73" i="3"/>
  <c r="H82" i="3" s="1"/>
  <c r="I78" i="3"/>
  <c r="I87" i="3" s="1"/>
  <c r="I77" i="3"/>
  <c r="I86" i="3" s="1"/>
  <c r="I74" i="3"/>
  <c r="I83" i="3" s="1"/>
  <c r="I73" i="3"/>
  <c r="I82" i="3" s="1"/>
  <c r="G77" i="3"/>
  <c r="G86" i="3" s="1"/>
  <c r="I75" i="3"/>
  <c r="I84" i="3" s="1"/>
  <c r="G78" i="3"/>
  <c r="G87" i="3" s="1"/>
  <c r="G75" i="3"/>
  <c r="G84" i="3" s="1"/>
  <c r="G76" i="3"/>
  <c r="G85" i="3" s="1"/>
  <c r="H78" i="3"/>
  <c r="H87" i="3" s="1"/>
  <c r="G74" i="3"/>
  <c r="G83" i="3" s="1"/>
  <c r="H76" i="3"/>
  <c r="H85" i="3" s="1"/>
  <c r="H74" i="3"/>
  <c r="H83"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Lee Z. Corum</author>
    <author>Lee Z Corum</author>
  </authors>
  <commentList>
    <comment ref="G15" authorId="0" shapeId="0" xr:uid="{00000000-0006-0000-0200-000001000000}">
      <text>
        <r>
          <rPr>
            <b/>
            <sz val="9"/>
            <color indexed="81"/>
            <rFont val="Tahoma"/>
            <family val="2"/>
          </rPr>
          <t>Lee Z. Corum:</t>
        </r>
        <r>
          <rPr>
            <sz val="9"/>
            <color indexed="81"/>
            <rFont val="Tahoma"/>
            <family val="2"/>
          </rPr>
          <t xml:space="preserve">
To compare the project sound level to the ambient sound level the levels must be in the same metric.</t>
        </r>
      </text>
    </comment>
    <comment ref="AH24" authorId="1" shapeId="0" xr:uid="{00000000-0006-0000-0200-000002000000}">
      <text>
        <r>
          <rPr>
            <b/>
            <sz val="9"/>
            <color indexed="81"/>
            <rFont val="Tahoma"/>
            <family val="2"/>
          </rPr>
          <t>Lee Z Corum:</t>
        </r>
        <r>
          <rPr>
            <sz val="9"/>
            <color indexed="81"/>
            <rFont val="Tahoma"/>
            <family val="2"/>
          </rPr>
          <t xml:space="preserve">
We andticipate that marbled murrelets that select their nest sites in close proximity to heavily used roads are either undisturbed by or habituate to sounds and activities associated with these roads (Hamer and Nelson 1998, p. 21).</t>
        </r>
      </text>
    </comment>
    <comment ref="AH28" authorId="1" shapeId="0" xr:uid="{00000000-0006-0000-0200-000003000000}">
      <text>
        <r>
          <rPr>
            <b/>
            <sz val="9"/>
            <color indexed="81"/>
            <rFont val="Tahoma"/>
            <family val="2"/>
          </rPr>
          <t>Lee Z Corum:</t>
        </r>
        <r>
          <rPr>
            <sz val="9"/>
            <color indexed="81"/>
            <rFont val="Tahoma"/>
            <family val="2"/>
          </rPr>
          <t xml:space="preserve">
We andticipate that marbled murrelets that select their nest sites in close proximity to heavily used roads are either undisturbed by or habituate to sounds and activities associated with these roads (Hamer and Nelson 1998, p. 21).</t>
        </r>
      </text>
    </comment>
    <comment ref="AH30" authorId="1" shapeId="0" xr:uid="{00000000-0006-0000-0200-000004000000}">
      <text>
        <r>
          <rPr>
            <b/>
            <sz val="9"/>
            <color indexed="81"/>
            <rFont val="Tahoma"/>
            <family val="2"/>
          </rPr>
          <t>Lee Z Corum:</t>
        </r>
        <r>
          <rPr>
            <sz val="9"/>
            <color indexed="81"/>
            <rFont val="Tahoma"/>
            <family val="2"/>
          </rPr>
          <t xml:space="preserve">
Based on recommendations from murrelet researchers that advised buffers of greater than 100 meters to reduce potential noise and visual disturbance to murrelets (Hamer and Nelson 1998, p. 13; USFWS 2012, pp. 6-9)</t>
        </r>
      </text>
    </comment>
    <comment ref="AH35" authorId="1" shapeId="0" xr:uid="{00000000-0006-0000-0200-000005000000}">
      <text>
        <r>
          <rPr>
            <b/>
            <sz val="9"/>
            <color indexed="81"/>
            <rFont val="Tahoma"/>
            <charset val="1"/>
          </rPr>
          <t>Lee Z Corum:</t>
        </r>
        <r>
          <rPr>
            <sz val="9"/>
            <color indexed="81"/>
            <rFont val="Tahoma"/>
            <charset val="1"/>
          </rPr>
          <t xml:space="preserve">
Based on recommendations from murrelet researchers that advised buffers of greater than 100 meters to reduce potential noise and visual disturbance to murrelets (Hamer and Nelson 1998, p. 13; USFWS 2012, pp. 6-9)</t>
        </r>
      </text>
    </comment>
    <comment ref="AH39" authorId="1" shapeId="0" xr:uid="{00000000-0006-0000-0200-000006000000}">
      <text>
        <r>
          <rPr>
            <b/>
            <sz val="9"/>
            <color indexed="81"/>
            <rFont val="Tahoma"/>
            <charset val="1"/>
          </rPr>
          <t>Lee Z Corum:</t>
        </r>
        <r>
          <rPr>
            <sz val="9"/>
            <color indexed="81"/>
            <rFont val="Tahoma"/>
            <charset val="1"/>
          </rPr>
          <t xml:space="preserve">
Impulsive sound associated with pile driving is highly variable and potentially injurious at close distances.  A review complied by Dooling and Popper (2007, p. 25) indicates that birds exposed to multiple impulses (e.g., pile driving) of sound at 125 dBA or greater are likely to suffer hearing damage.  We have conservatively chosen a distance threshold of 120 yards for impact pile driving to avoid potential effects to hearing and to account for significant behavioral responses (e.g., flushing)from exposure to loud, impulsive sounds.  Based on an average maximum sound level of 110 dBA at 50 feet for pile driving, exposure to injurious sound levels would only occur at extremely close distances (i.e., ≤ 5 yards)</t>
        </r>
      </text>
    </comment>
    <comment ref="AJ39" authorId="1" shapeId="0" xr:uid="{00000000-0006-0000-0200-000007000000}">
      <text>
        <r>
          <rPr>
            <b/>
            <sz val="9"/>
            <color indexed="81"/>
            <rFont val="Tahoma"/>
            <family val="2"/>
          </rPr>
          <t>Lee Z Corum:</t>
        </r>
        <r>
          <rPr>
            <sz val="9"/>
            <color indexed="81"/>
            <rFont val="Tahoma"/>
            <family val="2"/>
          </rPr>
          <t xml:space="preserve">
Impulsive sound associated with pile driving is highly variable and potentially injurious at close distances.  A review complied by Dooling and Popper (2007, p. 25) indicates that birds exposed to multiple impulses (e.g., pile driving) of sound at 125 dBA or greater are likely to suffer hearing damage.  We have conservatively chosen a distance threshold of 120 yards for impact pile driving to avoid potential effects to hearing and to account for significant behavioral responses (e.g., flushing)from exposure to loud, impulsive sounds.  Based on an average maximum sound level of 110 dBA at 50 feet for pile driving, exposure to injurious sound levels would only occur at extremely close distances (i.e., ≤ 5 yards)</t>
        </r>
      </text>
    </comment>
    <comment ref="AH41" authorId="1" shapeId="0" xr:uid="{00000000-0006-0000-0200-000008000000}">
      <text>
        <r>
          <rPr>
            <b/>
            <sz val="9"/>
            <color indexed="81"/>
            <rFont val="Tahoma"/>
            <charset val="1"/>
          </rPr>
          <t>Lee Z Corum:</t>
        </r>
        <r>
          <rPr>
            <sz val="9"/>
            <color indexed="81"/>
            <rFont val="Tahoma"/>
            <charset val="1"/>
          </rPr>
          <t xml:space="preserve">
Impulsive sound associated with pile driving is highly variable and potentially injurious at close distances.  A review complied by Dooling and Popper (2007, p. 25) indicates that birds exposed to multiple impulses (e.g., pile driving) of sound at 125 dBA or greater are likely to suffer hearing damage.  We have conservatively chosen a distance threshold of 120 yards for impact pile driving to avoid potential effects to hearing and to account for significant behavioral responses (e.g., flushing)from exposure to loud, impulsive sounds.  Based on an average maximum sound level of 110 dBA at 50 feet for pile driving, exposure to injurious sound levels would only occur at extremely close distances (i.e., ≤ 5 yards)</t>
        </r>
      </text>
    </comment>
    <comment ref="AJ41" authorId="1" shapeId="0" xr:uid="{00000000-0006-0000-0200-000009000000}">
      <text>
        <r>
          <rPr>
            <b/>
            <sz val="9"/>
            <color indexed="81"/>
            <rFont val="Tahoma"/>
            <charset val="1"/>
          </rPr>
          <t>Lee Z Corum:</t>
        </r>
        <r>
          <rPr>
            <sz val="9"/>
            <color indexed="81"/>
            <rFont val="Tahoma"/>
            <charset val="1"/>
          </rPr>
          <t xml:space="preserve">
Impulsive sound associated with pile driving is highly variable and potentially injurious at close distances.  A review complied by Dooling and Popper (2007, p. 25) indicates that birds exposed to multiple impulses (e.g., pile driving) of sound at 125 dBA or greater are likely to suffer hearing damage.  We have conservatively chosen a distance threshold of 120 yards for impact pile driving to avoid potential effects to hearing and to account for significant behavioral responses (e.g., flushing)from exposure to loud, impulsive sounds.  Based on an average maximum sound level of 110 dBA at 50 feet for pile driving, exposure to injurious sound levels would only occur at extremely close distances (i.e., ≤ 5 yards)</t>
        </r>
      </text>
    </comment>
    <comment ref="AH44" authorId="1" shapeId="0" xr:uid="{00000000-0006-0000-0200-00000A000000}">
      <text>
        <r>
          <rPr>
            <b/>
            <sz val="9"/>
            <color indexed="81"/>
            <rFont val="Tahoma"/>
            <charset val="1"/>
          </rPr>
          <t>Lee Z Corum:</t>
        </r>
        <r>
          <rPr>
            <sz val="9"/>
            <color indexed="81"/>
            <rFont val="Tahoma"/>
            <charset val="1"/>
          </rPr>
          <t xml:space="preserve">
Impulsive sound associated with pile driving is highly variable and potentially injurious at close distances.  A review complied by Dooling and Popper (2007, p. 25) indicates that birds exposed to multiple impulses (e.g., pile driving) of sound at 125 dBA or greater are likely to suffer hearing damage.  We have conservatively chosen a distance threshold of 120 yards for impact pile driving to avoid potential effects to hearing and to account for significant behavioral responses (e.g., flushing)from exposure to loud, impulsive sounds.  Based on an average maximum sound level of 110 dBA at 50 feet for pile driving, exposure to injurious sound levels would only occur at extremely close distances (i.e., ≤ 5 yards)</t>
        </r>
      </text>
    </comment>
    <comment ref="AJ44" authorId="1" shapeId="0" xr:uid="{00000000-0006-0000-0200-00000B000000}">
      <text>
        <r>
          <rPr>
            <b/>
            <sz val="9"/>
            <color indexed="81"/>
            <rFont val="Tahoma"/>
            <charset val="1"/>
          </rPr>
          <t>Lee Z Corum:</t>
        </r>
        <r>
          <rPr>
            <sz val="9"/>
            <color indexed="81"/>
            <rFont val="Tahoma"/>
            <charset val="1"/>
          </rPr>
          <t xml:space="preserve">
Sound associated with blasts is highly variable and potentially injurious at close distances. We selected a 0.25-mile radius around blast sites as a disruption distance based on observed prairie falcon flush responses to blasting noise at distances of 0.3 to 0.6 mile from blast sites (Holthuijzen et al. 1990, p. 273). Exposure to pear sound levels that are greater than 140 dBA are likely to cause injury in the form of hearing loss in birds (Dooling and Popper 2007, pp. 23-24). We have conservatively selected 100 yards as an injury threshold distance based on sound levels from experimental blasts reported by Holthuijzen et al. (1990, p. 272), which documented peak sound levels from small blasts at 138 to 146 dBA at a distance of 100 m (110 yards).</t>
        </r>
      </text>
    </comment>
    <comment ref="AH46" authorId="1" shapeId="0" xr:uid="{00000000-0006-0000-0200-00000C000000}">
      <text>
        <r>
          <rPr>
            <b/>
            <sz val="9"/>
            <color indexed="81"/>
            <rFont val="Tahoma"/>
            <charset val="1"/>
          </rPr>
          <t>Lee Z Corum:</t>
        </r>
        <r>
          <rPr>
            <sz val="9"/>
            <color indexed="81"/>
            <rFont val="Tahoma"/>
            <charset val="1"/>
          </rPr>
          <t xml:space="preserve">
Based on an estimated 92 dBA soundcountour (approximately 265 yards) for the Chinook 47 d (Newman et a. 1984, Table D.1).</t>
        </r>
      </text>
    </comment>
    <comment ref="AJ46" authorId="1" shapeId="0" xr:uid="{00000000-0006-0000-0200-00000D000000}">
      <text>
        <r>
          <rPr>
            <b/>
            <sz val="9"/>
            <color indexed="81"/>
            <rFont val="Tahoma"/>
            <charset val="1"/>
          </rPr>
          <t>Lee Z Corum:</t>
        </r>
        <r>
          <rPr>
            <sz val="9"/>
            <color indexed="81"/>
            <rFont val="Tahoma"/>
            <charset val="1"/>
          </rPr>
          <t xml:space="preserve">
Because murrelet chicks are present at the nest until they fledge, they are vulnerable to direct injury or mortality from flying debris caused by intense rotor wash directly under a hovering helicopter. Hovering distance is based on a 300-ft radius rotor-wash zone for large helicopters hovering at less than 500 ft above ground level (from WCB 2005, p. 2, logging safety guidelines). We reduced the hovering helicopter rotor-wash zone to a 50-yard radius for all other helicopters based on the smaller rotor-span for all other ships.</t>
        </r>
      </text>
    </comment>
    <comment ref="AH48" authorId="1" shapeId="0" xr:uid="{00000000-0006-0000-0200-00000E000000}">
      <text>
        <r>
          <rPr>
            <b/>
            <sz val="9"/>
            <color indexed="81"/>
            <rFont val="Tahoma"/>
            <charset val="1"/>
          </rPr>
          <t>Lee Z Corum:</t>
        </r>
        <r>
          <rPr>
            <sz val="9"/>
            <color indexed="81"/>
            <rFont val="Tahoma"/>
            <charset val="1"/>
          </rPr>
          <t xml:space="preserve">
Based on an estimated 92 dBA sound countour from sound data for the Boeing Vertol 107 presented in the San Dimas Helicopter Logging Noise Report (USFS 208, chapters 5, 6).</t>
        </r>
      </text>
    </comment>
    <comment ref="AJ48" authorId="1" shapeId="0" xr:uid="{00000000-0006-0000-0200-00000F000000}">
      <text>
        <r>
          <rPr>
            <b/>
            <sz val="9"/>
            <color indexed="81"/>
            <rFont val="Tahoma"/>
            <charset val="1"/>
          </rPr>
          <t>Lee Z Corum:</t>
        </r>
        <r>
          <rPr>
            <sz val="9"/>
            <color indexed="81"/>
            <rFont val="Tahoma"/>
            <charset val="1"/>
          </rPr>
          <t xml:space="preserve">
Because murrelet chicks are present at the nest until they fledge, they are vulnerable to direct injury or mortality from flying debris caused by intense rotor wash directly under a hovering helicopter. Hovering distance is based on a 300-ft radius rotor-wash zone for large helicopters hovering at less than 500 ft above ground level (from WCB 2005, p. 2, logging safety guidelines). We reduced the hovering helicopter rotor-wash zone to a 50-yard radius for all other helicopters based on the smaller rotor-span for all other ships.</t>
        </r>
      </text>
    </comment>
    <comment ref="AH51" authorId="1" shapeId="0" xr:uid="{00000000-0006-0000-0200-000010000000}">
      <text>
        <r>
          <rPr>
            <b/>
            <sz val="9"/>
            <color indexed="81"/>
            <rFont val="Tahoma"/>
            <charset val="1"/>
          </rPr>
          <t>Lee Z Corum:</t>
        </r>
        <r>
          <rPr>
            <sz val="9"/>
            <color indexed="81"/>
            <rFont val="Tahoma"/>
            <charset val="1"/>
          </rPr>
          <t xml:space="preserve">
The estimated 92 dBA sound contours for these helicopters is less than 110 yards (e.g., KMAX: 100 feet [USFS 2008, chapters 5, 6], and Bell 206: 85-89 dBA at 100m [Brubb et al. 2010, p. 1277]).</t>
        </r>
      </text>
    </comment>
    <comment ref="AJ51" authorId="1" shapeId="0" xr:uid="{00000000-0006-0000-0200-000011000000}">
      <text>
        <r>
          <rPr>
            <b/>
            <sz val="9"/>
            <color indexed="81"/>
            <rFont val="Tahoma"/>
            <family val="2"/>
          </rPr>
          <t>Lee Z Corum:</t>
        </r>
        <r>
          <rPr>
            <sz val="9"/>
            <color indexed="81"/>
            <rFont val="Tahoma"/>
            <family val="2"/>
          </rPr>
          <t xml:space="preserve">
Because murrelet chicks are present at the nest until they fledge, they are vulnerable to direct injury or mortality from flying debris caused by intense rotor wash directly under a hovering helicopter. Hovering distance is based on a 300-ft radius rotor-wash zone for large helicopters hovering at less than 500 ft above ground level (from WCB 2005, p. 2, logging safety guidelines). We reduced the hovering helicopter rotor-wash zone to a 50-yard radius for all other helicopters based on the smaller rotor-span for all other ships.</t>
        </r>
      </text>
    </comment>
    <comment ref="AH55" authorId="1" shapeId="0" xr:uid="{00000000-0006-0000-0200-000012000000}">
      <text>
        <r>
          <rPr>
            <b/>
            <sz val="9"/>
            <color indexed="81"/>
            <rFont val="Tahoma"/>
            <charset val="1"/>
          </rPr>
          <t>Lee Z Corum:</t>
        </r>
        <r>
          <rPr>
            <sz val="9"/>
            <color indexed="81"/>
            <rFont val="Tahoma"/>
            <charset val="1"/>
          </rPr>
          <t xml:space="preserve">
Based on recommendation from murrelet researchers that advised buffers of greater than 100 meters to reduce potential noise and visual disturbance to murrelets (Hamer and Nelson 1998, p. 13; USFWS 2012, pp. 6-9).</t>
        </r>
      </text>
    </comment>
    <comment ref="AH57" authorId="1" shapeId="0" xr:uid="{00000000-0006-0000-0200-000013000000}">
      <text>
        <r>
          <rPr>
            <b/>
            <sz val="9"/>
            <color indexed="81"/>
            <rFont val="Tahoma"/>
            <charset val="1"/>
          </rPr>
          <t>Lee Z Corum:</t>
        </r>
        <r>
          <rPr>
            <sz val="9"/>
            <color indexed="81"/>
            <rFont val="Tahoma"/>
            <charset val="1"/>
          </rPr>
          <t xml:space="preserve">
Based on recommendations presented in </t>
        </r>
        <r>
          <rPr>
            <i/>
            <sz val="9"/>
            <color indexed="81"/>
            <rFont val="Tahoma"/>
            <family val="2"/>
          </rPr>
          <t>Smoke Effects to Northern Spotted Owls</t>
        </r>
        <r>
          <rPr>
            <sz val="9"/>
            <color indexed="81"/>
            <rFont val="Tahoma"/>
            <family val="2"/>
          </rPr>
          <t xml:space="preserve"> (USFWS 2008, p. 4).</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Lee Z Corum</author>
  </authors>
  <commentList>
    <comment ref="S17" authorId="0" shapeId="0" xr:uid="{00000000-0006-0000-0300-000001000000}">
      <text>
        <r>
          <rPr>
            <b/>
            <sz val="9"/>
            <color indexed="81"/>
            <rFont val="Tahoma"/>
            <charset val="1"/>
          </rPr>
          <t>Lee Z Corum:</t>
        </r>
        <r>
          <rPr>
            <sz val="9"/>
            <color indexed="81"/>
            <rFont val="Tahoma"/>
            <charset val="1"/>
          </rPr>
          <t xml:space="preserve">
Viers, V. and S. Viers. 2006. Average levels and power spectra of ambient sound in the habitat of southern resident orcas. Unpublished report to NOAA/NMFS/NWFSC. April 21, 2006.</t>
        </r>
      </text>
    </comment>
    <comment ref="S18" authorId="0" shapeId="0" xr:uid="{00000000-0006-0000-0300-000002000000}">
      <text>
        <r>
          <rPr>
            <b/>
            <sz val="9"/>
            <color indexed="81"/>
            <rFont val="Tahoma"/>
            <family val="2"/>
          </rPr>
          <t>Lee Z Corum:</t>
        </r>
        <r>
          <rPr>
            <sz val="9"/>
            <color indexed="81"/>
            <rFont val="Tahoma"/>
            <family val="2"/>
          </rPr>
          <t xml:space="preserve">
Laughlin, J. 2019. Compendium of background sound levels for ferry terminals in Puget Sound.  Prepared by Washington State Department of Transportation, 2019.</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Wright, Lindsy</author>
  </authors>
  <commentList>
    <comment ref="B10" authorId="0" shapeId="0" xr:uid="{00000000-0006-0000-0700-000001000000}">
      <text>
        <r>
          <rPr>
            <b/>
            <sz val="9"/>
            <color indexed="81"/>
            <rFont val="Tahoma"/>
            <family val="2"/>
          </rPr>
          <t>Wright, Lindsy:</t>
        </r>
        <r>
          <rPr>
            <sz val="9"/>
            <color indexed="81"/>
            <rFont val="Tahoma"/>
            <family val="2"/>
          </rPr>
          <t xml:space="preserve">
Must enter time in 30 minute incriments because calculation is based on assumption that a forging bout is 30 minutes for MaMu</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Wright, Lindsy</author>
    <author>Cook-Tabor, Carrie</author>
  </authors>
  <commentList>
    <comment ref="A15" authorId="0" shapeId="0" xr:uid="{00000000-0006-0000-0900-000001000000}">
      <text>
        <r>
          <rPr>
            <b/>
            <sz val="9"/>
            <color indexed="81"/>
            <rFont val="Tahoma"/>
            <family val="2"/>
          </rPr>
          <t>Wright, Lindsy:</t>
        </r>
        <r>
          <rPr>
            <sz val="9"/>
            <color indexed="81"/>
            <rFont val="Tahoma"/>
            <family val="2"/>
          </rPr>
          <t xml:space="preserve">
avg. data 2001-2014</t>
        </r>
      </text>
    </comment>
    <comment ref="G25" authorId="1" shapeId="0" xr:uid="{00000000-0006-0000-0900-000002000000}">
      <text>
        <r>
          <rPr>
            <b/>
            <sz val="10"/>
            <color indexed="81"/>
            <rFont val="Tahoma"/>
            <family val="2"/>
          </rPr>
          <t>Cook-Tabor, Carrie:</t>
        </r>
        <r>
          <rPr>
            <sz val="10"/>
            <color indexed="81"/>
            <rFont val="Tahoma"/>
            <family val="2"/>
          </rPr>
          <t xml:space="preserve">
this is the cumulative probability of p(x is greater than or equal to 1)</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Wright, Lindsy</author>
  </authors>
  <commentList>
    <comment ref="C32" authorId="0" shapeId="0" xr:uid="{00000000-0006-0000-0C00-000001000000}">
      <text>
        <r>
          <rPr>
            <b/>
            <sz val="9"/>
            <color indexed="81"/>
            <rFont val="Tahoma"/>
            <family val="2"/>
          </rPr>
          <t>Wright, Lindsy:</t>
        </r>
        <r>
          <rPr>
            <sz val="9"/>
            <color indexed="81"/>
            <rFont val="Tahoma"/>
            <family val="2"/>
          </rPr>
          <t xml:space="preserve">
CV=st. dev/mean
</t>
        </r>
        <r>
          <rPr>
            <b/>
            <sz val="9"/>
            <color indexed="81"/>
            <rFont val="Tahoma"/>
            <family val="2"/>
          </rPr>
          <t xml:space="preserve">CV should be used for comparison between data sets with widely different means. CV can't be directly used to construct confidence intervals for the mean.
</t>
        </r>
      </text>
    </comment>
    <comment ref="A46" authorId="0" shapeId="0" xr:uid="{00000000-0006-0000-0C00-000002000000}">
      <text>
        <r>
          <rPr>
            <b/>
            <sz val="9"/>
            <color indexed="81"/>
            <rFont val="Tahoma"/>
            <family val="2"/>
          </rPr>
          <t>Wright, Lindsy:</t>
        </r>
        <r>
          <rPr>
            <sz val="9"/>
            <color indexed="81"/>
            <rFont val="Tahoma"/>
            <family val="2"/>
          </rPr>
          <t xml:space="preserve">
In 2016 reduced sampling-effort design: 
Zone 1 &amp; 3 only sampled in EVEN years
Zone 2 &amp; 4 only sampled ODD years (Zone 2 sampled 2014)
Zone 5 sampled every FOURTH year (no data for Zone 4 and 5 in 2014, Zone 2 was sampled in 2014)
2014 Surveyed Zones 1, 2, and 3</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<sst xmlns="http://schemas.openxmlformats.org/spreadsheetml/2006/main" count="2076" uniqueCount="680">
  <si>
    <t>Download a copy of the calculator so the master workbook is not altered.</t>
  </si>
  <si>
    <t>NOTE: The sound data built into this calculator applies best to typical pile driving projects in Puget Sound with substrate of unconsolidated glacial outwash.  
If your project will occur in a different susbtrate (e.g., rock) discuss with the Bioacoustics Lead.</t>
  </si>
  <si>
    <t xml:space="preserve">In the "Project Data and Effects" worksheet: </t>
  </si>
  <si>
    <t>1.</t>
  </si>
  <si>
    <t>Select the Material, Type, and Diameter of the proposed action's piles from the drop-down menus.</t>
  </si>
  <si>
    <t>i.</t>
  </si>
  <si>
    <t>If there is not sound data available for the size of piling proposed, use the next higher pile size that does have sound data as a conservative estimate</t>
  </si>
  <si>
    <t xml:space="preserve">ii. </t>
  </si>
  <si>
    <r>
      <t xml:space="preserve">If there are not appropriate options to describe the piles in the proposed action or you want to use other sound data, 
manually enter sound data into the light blue </t>
    </r>
    <r>
      <rPr>
        <u/>
        <sz val="12"/>
        <color theme="4"/>
        <rFont val="Times New Roman"/>
        <family val="1"/>
      </rPr>
      <t>Other data</t>
    </r>
    <r>
      <rPr>
        <sz val="12"/>
        <color theme="1"/>
        <rFont val="Times New Roman"/>
        <family val="1"/>
      </rPr>
      <t xml:space="preserve"> cells. Notify the Bioacoustics Lead if the calculator needs to be updated</t>
    </r>
  </si>
  <si>
    <t>2.</t>
  </si>
  <si>
    <t>Enter the maximum proposed number of piles to be installed per day</t>
  </si>
  <si>
    <t>3.</t>
  </si>
  <si>
    <t>Enter the maxumum expected number of strikes per pile</t>
  </si>
  <si>
    <t>4.</t>
  </si>
  <si>
    <t>Enter the sound attenuation from devices (e.g. bubble curtain) to decrease the sound energy transmitted to the environment.</t>
  </si>
  <si>
    <r>
      <t xml:space="preserve">NOTE: </t>
    </r>
    <r>
      <rPr>
        <u/>
        <sz val="12"/>
        <color theme="1"/>
        <rFont val="Times New Roman"/>
        <family val="1"/>
      </rPr>
      <t>Only</t>
    </r>
    <r>
      <rPr>
        <sz val="12"/>
        <color theme="1"/>
        <rFont val="Times New Roman"/>
        <family val="1"/>
      </rPr>
      <t xml:space="preserve"> credit the project for sound attenuation IF the applicant will use hydroacoustic monitoring to ensure the performance of the attenuation device 
(shutting down pile driving if the attenuation device fails to deliver the expected attenuation). If hydroacoustic monitoring will not occur, enter zero or leave blank.</t>
    </r>
  </si>
  <si>
    <t>5.</t>
  </si>
  <si>
    <t>Enter the marbled murrelet stratum where the work will occur (refer to map, if your project is in an area that is not shaded use the stratum closest to the project).</t>
  </si>
  <si>
    <t>6.</t>
  </si>
  <si>
    <t>Enter the number of piles to be installed during the summer (April - September) and winter (October - March)</t>
  </si>
  <si>
    <t>If it is unclear how many piles will be installed during the discrete murrelet seasons, analyze the worst-case scenario:</t>
  </si>
  <si>
    <t>&gt;</t>
  </si>
  <si>
    <t>Stratum 1: Analyze project with all piles installed in the summer</t>
  </si>
  <si>
    <t>Strata 2 &amp; 3: Analyze project with all piles installed in the winter</t>
  </si>
  <si>
    <t>ii.</t>
  </si>
  <si>
    <t>If your analysis worst-case scenario yields results that are close to discountable, getting the action agency/applicant to better describe or constrain their action may allow a better analysis that could result in the action being Not Likely to Adversely Affect listed species.</t>
  </si>
  <si>
    <t>7.</t>
  </si>
  <si>
    <t>Select, from the drop-down menu, if monitoring for marbled murrelets following USFWS protocol is included in the proposed action</t>
  </si>
  <si>
    <t>8.</t>
  </si>
  <si>
    <t>Enter the percentage of the auditory injury area of effects that is land</t>
  </si>
  <si>
    <t>FURTHER NOTES:</t>
  </si>
  <si>
    <t>a.</t>
  </si>
  <si>
    <t>We do not expect injurious sound to result from driving concrete, plastic, or wood piles.  Do not use this calculator to determine effects of those piles.</t>
  </si>
  <si>
    <t>c.</t>
  </si>
  <si>
    <t>Areas of effects relating to Effective Quiet refers to the areas within which energy from pile driving will accumulate and could be harmful.  Outside of that area, energy is no longer accumulating.  This is not the same as ambient sound level.</t>
  </si>
  <si>
    <t>b.</t>
  </si>
  <si>
    <t>We do not expect "typical" pile driving projects to result in masking 
(in-air sound interference with murrelet vocal communication).</t>
  </si>
  <si>
    <t>d.</t>
  </si>
  <si>
    <r>
      <t>The criterion and areas of potential behavioral responses are guidelines only.  The area of effects shows the distance needed for sound pressure levels will drop below 150 dB</t>
    </r>
    <r>
      <rPr>
        <vertAlign val="subscript"/>
        <sz val="12"/>
        <color theme="1"/>
        <rFont val="Times New Roman"/>
        <family val="1"/>
      </rPr>
      <t>RMS</t>
    </r>
    <r>
      <rPr>
        <sz val="12"/>
        <color theme="1"/>
        <rFont val="Times New Roman"/>
        <family val="1"/>
      </rPr>
      <t>.  Whether individuals within that area of effects would exhibit behavioral responses depends on the duration of the activity.</t>
    </r>
  </si>
  <si>
    <t>"Typical" pile driving projects entail only vibratory driving or intermittent impact driving (such as proofing).</t>
  </si>
  <si>
    <t>Monitoring for marbled murrelets within a masking zone should only occur from stationary locations.</t>
  </si>
  <si>
    <t>Date</t>
  </si>
  <si>
    <t>Staff</t>
  </si>
  <si>
    <t>Last Update:</t>
  </si>
  <si>
    <t>LZC</t>
  </si>
  <si>
    <t>Sound Exposure Level Calculator for Marbled Murrelet and Bull Trout</t>
  </si>
  <si>
    <t>This spreadsheet was developed as an in-house tool for USFWS staff to use when assessing the effects to marbled murrelets and/or bull trout from impact pile driving.  The USFWS makes this spreadsheet available to other users, and assumes no responsibility for errors when this tool is used by non-USFWS staff.  Use this spreadsheet to calculate the distance to various thresholds for both marbled murrelets and bull trout.  The calculations incorporate the concept of effective quiet (EQ) wherein we assume that the energy from pile strikes below a certain SEL does not accumulate to cause injury.</t>
  </si>
  <si>
    <t>Version:</t>
  </si>
  <si>
    <t>Inputs
Select from drop-down menu or enter project-specific data</t>
  </si>
  <si>
    <t>Other data</t>
  </si>
  <si>
    <r>
      <rPr>
        <b/>
        <sz val="12"/>
        <color theme="1"/>
        <rFont val="Times New Roman"/>
        <family val="1"/>
      </rPr>
      <t>Peak</t>
    </r>
    <r>
      <rPr>
        <sz val="11"/>
        <color theme="1"/>
        <rFont val="Times New Roman"/>
        <family val="1"/>
      </rPr>
      <t xml:space="preserve"> Single Strike (dB re: 1 μPa)</t>
    </r>
  </si>
  <si>
    <t>Sound data for 
impact pile driving</t>
  </si>
  <si>
    <t>Pile Material</t>
  </si>
  <si>
    <r>
      <rPr>
        <b/>
        <sz val="12"/>
        <color theme="1"/>
        <rFont val="Times New Roman"/>
        <family val="1"/>
      </rPr>
      <t>RMS</t>
    </r>
    <r>
      <rPr>
        <sz val="11"/>
        <color theme="1"/>
        <rFont val="Times New Roman"/>
        <family val="1"/>
      </rPr>
      <t xml:space="preserve"> Single Strike (dB  re: 1 μPa)</t>
    </r>
  </si>
  <si>
    <t>Pile Type</t>
  </si>
  <si>
    <r>
      <rPr>
        <b/>
        <sz val="11"/>
        <color theme="1"/>
        <rFont val="Times New Roman"/>
        <family val="1"/>
      </rPr>
      <t>SEL</t>
    </r>
    <r>
      <rPr>
        <sz val="11"/>
        <color theme="1"/>
        <rFont val="Times New Roman"/>
        <family val="1"/>
      </rPr>
      <t xml:space="preserve"> Single Strike (dB re: 1 μPa</t>
    </r>
    <r>
      <rPr>
        <vertAlign val="superscript"/>
        <sz val="11"/>
        <color theme="1"/>
        <rFont val="Times New Roman"/>
        <family val="1"/>
      </rPr>
      <t>2</t>
    </r>
    <r>
      <rPr>
        <sz val="11"/>
        <color theme="1"/>
        <rFont val="Times New Roman"/>
        <family val="1"/>
      </rPr>
      <t>s)</t>
    </r>
  </si>
  <si>
    <t>Pile Diameter (inches)</t>
  </si>
  <si>
    <r>
      <rPr>
        <b/>
        <sz val="12"/>
        <color theme="1"/>
        <rFont val="Times New Roman"/>
        <family val="1"/>
      </rPr>
      <t>Cumulative SEL</t>
    </r>
    <r>
      <rPr>
        <sz val="11"/>
        <color theme="1"/>
        <rFont val="Times New Roman"/>
        <family val="1"/>
      </rPr>
      <t xml:space="preserve"> (dB re: 1 μPa</t>
    </r>
    <r>
      <rPr>
        <vertAlign val="superscript"/>
        <sz val="11"/>
        <color theme="1"/>
        <rFont val="Times New Roman"/>
        <family val="1"/>
      </rPr>
      <t>2</t>
    </r>
    <r>
      <rPr>
        <sz val="11"/>
        <color theme="1"/>
        <rFont val="Times New Roman"/>
        <family val="1"/>
      </rPr>
      <t xml:space="preserve">s) </t>
    </r>
  </si>
  <si>
    <t>Distance of Sound Pressure Level measurements from source:</t>
  </si>
  <si>
    <t>Data Source:</t>
  </si>
  <si>
    <t>Piles Per Day (Maximum)</t>
  </si>
  <si>
    <t>Bull Trout Effects</t>
  </si>
  <si>
    <t xml:space="preserve">Radii of Area of Effects </t>
  </si>
  <si>
    <t>Area of Effects</t>
  </si>
  <si>
    <t>Pile Strikes Per Pile (Maximum)</t>
  </si>
  <si>
    <t>Effects Category</t>
  </si>
  <si>
    <t>Bull Trout Injury Threshold</t>
  </si>
  <si>
    <t>meters</t>
  </si>
  <si>
    <t>feet</t>
  </si>
  <si>
    <r>
      <t>km</t>
    </r>
    <r>
      <rPr>
        <b/>
        <vertAlign val="superscript"/>
        <sz val="12"/>
        <color theme="1"/>
        <rFont val="Times New Roman"/>
        <family val="1"/>
      </rPr>
      <t>2</t>
    </r>
  </si>
  <si>
    <t>Areas around the project where individuals may be affected by sound from pile driving</t>
  </si>
  <si>
    <t>Pile Strikes Per Day (Maximum)</t>
  </si>
  <si>
    <t>Bull Trout ≤ 2 grams</t>
  </si>
  <si>
    <r>
      <t xml:space="preserve"> dB</t>
    </r>
    <r>
      <rPr>
        <vertAlign val="subscript"/>
        <sz val="12"/>
        <color theme="1"/>
        <rFont val="Times New Roman"/>
        <family val="1"/>
      </rPr>
      <t>SEL</t>
    </r>
    <r>
      <rPr>
        <sz val="12"/>
        <color theme="1"/>
        <rFont val="Times New Roman"/>
        <family val="1"/>
      </rPr>
      <t xml:space="preserve"> re: 1 μPa</t>
    </r>
    <r>
      <rPr>
        <vertAlign val="superscript"/>
        <sz val="12"/>
        <color theme="1"/>
        <rFont val="Times New Roman"/>
        <family val="1"/>
      </rPr>
      <t>2</t>
    </r>
    <r>
      <rPr>
        <sz val="12"/>
        <color theme="1"/>
        <rFont val="Times New Roman"/>
        <family val="1"/>
      </rPr>
      <t>s</t>
    </r>
  </si>
  <si>
    <t>Minutes of pile driving per day 
(assuming 40 strikes per minute)</t>
  </si>
  <si>
    <t>Bull Trout &gt; 2 grams</t>
  </si>
  <si>
    <t>dB Attenuation 
(from devices such as bubble curtains)</t>
  </si>
  <si>
    <r>
      <t xml:space="preserve"> dB</t>
    </r>
    <r>
      <rPr>
        <vertAlign val="subscript"/>
        <sz val="12"/>
        <color theme="1"/>
        <rFont val="Times New Roman"/>
        <family val="1"/>
      </rPr>
      <t>Peak</t>
    </r>
    <r>
      <rPr>
        <sz val="12"/>
        <color theme="1"/>
        <rFont val="Times New Roman"/>
        <family val="1"/>
      </rPr>
      <t xml:space="preserve"> re: 1 μPa</t>
    </r>
  </si>
  <si>
    <t>Murrelet-specific information</t>
  </si>
  <si>
    <t>Marbled Murrelet Effects</t>
  </si>
  <si>
    <t>Probability of Marbled Murrelet Exposure
(p &lt; 0.1 = Discountable, p &gt; 0.5 = Take)</t>
  </si>
  <si>
    <r>
      <t xml:space="preserve">Murrelet stratum of </t>
    </r>
    <r>
      <rPr>
        <sz val="11"/>
        <color theme="1"/>
        <rFont val="Times New Roman"/>
        <family val="1"/>
      </rPr>
      <t xml:space="preserve">work location </t>
    </r>
  </si>
  <si>
    <t>Marbled Murrelet Thresholds</t>
  </si>
  <si>
    <t>Total Piles Installed During Summer 
(between April-Sept for Life of Project)</t>
  </si>
  <si>
    <r>
      <t xml:space="preserve">Masking
</t>
    </r>
    <r>
      <rPr>
        <sz val="10"/>
        <color theme="1"/>
        <rFont val="Times New Roman"/>
        <family val="1"/>
      </rPr>
      <t>(When impact pile-driving is more than intermittent proofing)</t>
    </r>
  </si>
  <si>
    <t>Piles ≤ 24 inches in diameter</t>
  </si>
  <si>
    <r>
      <rPr>
        <b/>
        <sz val="12"/>
        <color theme="1"/>
        <rFont val="Times New Roman"/>
        <family val="1"/>
      </rPr>
      <t>Injurious</t>
    </r>
    <r>
      <rPr>
        <sz val="12"/>
        <color theme="1"/>
        <rFont val="Times New Roman"/>
        <family val="1"/>
      </rPr>
      <t xml:space="preserve"> 
Sound Pressure Levels underwater</t>
    </r>
  </si>
  <si>
    <t>Masking</t>
  </si>
  <si>
    <t>Total Piles Installed During Winter 
(between Oct-Mar for Life of Project)</t>
  </si>
  <si>
    <t>Piles &gt; 24 inches in diameter</t>
  </si>
  <si>
    <t xml:space="preserve">Will Murrelet Monitoring Occur? </t>
  </si>
  <si>
    <t>Injury</t>
  </si>
  <si>
    <t>Percentage of Total Murrelet Auditory Injury Area of Effect that is Land</t>
  </si>
  <si>
    <t>Barotrauma</t>
  </si>
  <si>
    <t>Summer</t>
  </si>
  <si>
    <t>Mean probability</t>
  </si>
  <si>
    <t>U95 probability</t>
  </si>
  <si>
    <t>Constants and Thresholds / Guidelines</t>
  </si>
  <si>
    <t>Bull Trout &amp; Marbled Murrelet Effects</t>
  </si>
  <si>
    <t>Winter</t>
  </si>
  <si>
    <t>Single Strike SEL for Effective Quiet</t>
  </si>
  <si>
    <t>Criteria</t>
  </si>
  <si>
    <t>Transmission Loss Constant</t>
  </si>
  <si>
    <t>Effective Quiet</t>
  </si>
  <si>
    <t>Entire Project</t>
  </si>
  <si>
    <t>Potential Behavioral Response</t>
  </si>
  <si>
    <r>
      <t xml:space="preserve"> dB</t>
    </r>
    <r>
      <rPr>
        <vertAlign val="subscript"/>
        <sz val="12"/>
        <color theme="1"/>
        <rFont val="Times New Roman"/>
        <family val="1"/>
      </rPr>
      <t>RMS</t>
    </r>
    <r>
      <rPr>
        <sz val="12"/>
        <color theme="1"/>
        <rFont val="Times New Roman"/>
        <family val="1"/>
      </rPr>
      <t xml:space="preserve"> re: 1 μPa</t>
    </r>
  </si>
  <si>
    <t>In-air Project Noise Attenuation</t>
  </si>
  <si>
    <t>Project-specific
Sound Attenuation Distances</t>
  </si>
  <si>
    <t>Maximum Sound Pressure Levels of 
Common Construction Equipment</t>
  </si>
  <si>
    <t>Terrestrial Ambient Sound Levels</t>
  </si>
  <si>
    <t>Project Information</t>
  </si>
  <si>
    <t>Equipment Description</t>
  </si>
  <si>
    <r>
      <t>dB</t>
    </r>
    <r>
      <rPr>
        <vertAlign val="subscript"/>
        <sz val="11"/>
        <color theme="1"/>
        <rFont val="Times New Roman"/>
        <family val="1"/>
      </rPr>
      <t>Lmax</t>
    </r>
    <r>
      <rPr>
        <sz val="11"/>
        <color theme="1"/>
        <rFont val="Times New Roman"/>
        <family val="1"/>
      </rPr>
      <t xml:space="preserve"> measured at 50 ft</t>
    </r>
  </si>
  <si>
    <t>Population Density
(people per square mile)</t>
  </si>
  <si>
    <t xml:space="preserve">Daytime Noise Levels
dBLeq </t>
  </si>
  <si>
    <t>Units</t>
  </si>
  <si>
    <t>Distance from Source</t>
  </si>
  <si>
    <t>Sound Pressure Level</t>
  </si>
  <si>
    <t>Measured Sound Pressure Level:</t>
  </si>
  <si>
    <t xml:space="preserve">Auger Drill Rig </t>
  </si>
  <si>
    <t>1-100</t>
  </si>
  <si>
    <t xml:space="preserve">Backhoe </t>
  </si>
  <si>
    <t>100-300</t>
  </si>
  <si>
    <t>Blasting</t>
  </si>
  <si>
    <t>94-126</t>
  </si>
  <si>
    <t>300-1,000</t>
  </si>
  <si>
    <t xml:space="preserve">Chain Saw </t>
  </si>
  <si>
    <t>1,000-3,000</t>
  </si>
  <si>
    <t>Distance of Sound Measurement:</t>
  </si>
  <si>
    <t xml:space="preserve">Clam Shovel (dropping) </t>
  </si>
  <si>
    <t>3,000-10,000</t>
  </si>
  <si>
    <t xml:space="preserve">Compactor (ground) </t>
  </si>
  <si>
    <t>10,000-30,000</t>
  </si>
  <si>
    <t xml:space="preserve">Concrete Mixer Truck </t>
  </si>
  <si>
    <t>30,000 and up</t>
  </si>
  <si>
    <t xml:space="preserve">Concrete Pump Truck </t>
  </si>
  <si>
    <t>Source: WSDOT BA Prep. Manual 8-2020</t>
  </si>
  <si>
    <t>Ambient Sound Level:</t>
  </si>
  <si>
    <t xml:space="preserve">Concrete Saw </t>
  </si>
  <si>
    <t xml:space="preserve">Crane </t>
  </si>
  <si>
    <t xml:space="preserve">Dozer </t>
  </si>
  <si>
    <t>Effects to nesting Marbled Murrelets</t>
  </si>
  <si>
    <t>Type of Sound Source:</t>
  </si>
  <si>
    <t>Point Souce examples: Pile drivers, construction sites
Line Source examples: Roads, railways</t>
  </si>
  <si>
    <t xml:space="preserve">Drill Rig Truck </t>
  </si>
  <si>
    <t xml:space="preserve">Drum Mixer </t>
  </si>
  <si>
    <t>Disturbance, significant disruption, and/or physical injury distance thresholds for murrelet during the nesting season (April 1 to Spetember 23).  Distances are to a known occupied marbled murrelet nest tree or suitable nest trees in unsurveyed nesting habitat.</t>
  </si>
  <si>
    <t>Type of Site:</t>
  </si>
  <si>
    <t>Hard sites = Urban areas, water, packed earth
Soft sites = Ground cover, forests, unpacked earth</t>
  </si>
  <si>
    <t xml:space="preserve">Excavator </t>
  </si>
  <si>
    <t xml:space="preserve">Front End Loader </t>
  </si>
  <si>
    <t>Grader</t>
  </si>
  <si>
    <t>79-87</t>
  </si>
  <si>
    <t>Project Activity</t>
  </si>
  <si>
    <t>No Effect</t>
  </si>
  <si>
    <t>NLAA</t>
  </si>
  <si>
    <t>LAA
disruption</t>
  </si>
  <si>
    <t>LAA
injury/mortality</t>
  </si>
  <si>
    <t xml:space="preserve">Grapple (on backhoe) </t>
  </si>
  <si>
    <t>Impact Pile Driver</t>
  </si>
  <si>
    <t>Light Maintenance at campgrounds, administrative facilities, and heavily-used roads</t>
  </si>
  <si>
    <t>&gt; 0.25 mile</t>
  </si>
  <si>
    <r>
      <rPr>
        <sz val="11"/>
        <color theme="1"/>
        <rFont val="Calibri"/>
        <family val="2"/>
      </rPr>
      <t xml:space="preserve">≤ </t>
    </r>
    <r>
      <rPr>
        <sz val="11"/>
        <color theme="1"/>
        <rFont val="Times New Roman"/>
        <family val="1"/>
      </rPr>
      <t>0.25 mile</t>
    </r>
  </si>
  <si>
    <t>NA</t>
  </si>
  <si>
    <t>Project-specific Attenuation</t>
  </si>
  <si>
    <t xml:space="preserve">Jackhammer </t>
  </si>
  <si>
    <t>Point Source</t>
  </si>
  <si>
    <t>Line Source</t>
  </si>
  <si>
    <t>Pavement Scarifier</t>
  </si>
  <si>
    <t xml:space="preserve">Paver </t>
  </si>
  <si>
    <t>74 - 91</t>
  </si>
  <si>
    <t>Sound Attenuation (dB):</t>
  </si>
  <si>
    <t xml:space="preserve">Pumps </t>
  </si>
  <si>
    <t>Log hauling on heavily-used roads</t>
  </si>
  <si>
    <t>≤ 0.25 mile</t>
  </si>
  <si>
    <t xml:space="preserve">Rock Drill </t>
  </si>
  <si>
    <t xml:space="preserve">Roller </t>
  </si>
  <si>
    <t>Chainsaws</t>
  </si>
  <si>
    <t>111 yards to 0.25 mile</t>
  </si>
  <si>
    <r>
      <rPr>
        <sz val="11"/>
        <color theme="1"/>
        <rFont val="Calibri"/>
        <family val="2"/>
      </rPr>
      <t>≤</t>
    </r>
    <r>
      <rPr>
        <sz val="11"/>
        <color theme="1"/>
        <rFont val="Times New Roman"/>
        <family val="1"/>
      </rPr>
      <t xml:space="preserve"> 110 yards</t>
    </r>
  </si>
  <si>
    <t>Potential for mortality if felled trees contain platforms</t>
  </si>
  <si>
    <t>Distance for Attenuation 
to Ambient Sound Level:</t>
  </si>
  <si>
    <t>m</t>
  </si>
  <si>
    <t xml:space="preserve">Sand Blasting (Single Nozzle) </t>
  </si>
  <si>
    <t>km</t>
  </si>
  <si>
    <t xml:space="preserve">Scraper </t>
  </si>
  <si>
    <t>ft</t>
  </si>
  <si>
    <t xml:space="preserve">Shears (on backhoe) </t>
  </si>
  <si>
    <t>miles</t>
  </si>
  <si>
    <t>Tractor</t>
  </si>
  <si>
    <t xml:space="preserve">Vacuum Excavator (Vac-truck) </t>
  </si>
  <si>
    <t>Heavy equipment for road construction, road repairs, bridge construction, culvert replacements, etc.</t>
  </si>
  <si>
    <t>≤ 110 yards</t>
  </si>
  <si>
    <t xml:space="preserve">Vibratory Concrete Mixer </t>
  </si>
  <si>
    <r>
      <t xml:space="preserve">dB </t>
    </r>
    <r>
      <rPr>
        <vertAlign val="subscript"/>
        <sz val="11"/>
        <color theme="0"/>
        <rFont val="Times New Roman"/>
        <family val="1"/>
      </rPr>
      <t>Peak</t>
    </r>
  </si>
  <si>
    <t>Vibratory Pile Driver</t>
  </si>
  <si>
    <r>
      <t xml:space="preserve">dB </t>
    </r>
    <r>
      <rPr>
        <vertAlign val="subscript"/>
        <sz val="11"/>
        <color theme="0"/>
        <rFont val="Times New Roman"/>
        <family val="1"/>
      </rPr>
      <t>RMS</t>
    </r>
  </si>
  <si>
    <r>
      <t xml:space="preserve">dB </t>
    </r>
    <r>
      <rPr>
        <vertAlign val="subscript"/>
        <sz val="11"/>
        <color theme="0"/>
        <rFont val="Times New Roman"/>
        <family val="1"/>
      </rPr>
      <t>SEL</t>
    </r>
  </si>
  <si>
    <t>Pile driving</t>
  </si>
  <si>
    <t>121 yards to 0.25 mile</t>
  </si>
  <si>
    <t>≤ 120 yards</t>
  </si>
  <si>
    <r>
      <rPr>
        <sz val="11"/>
        <color theme="1"/>
        <rFont val="Calibri"/>
        <family val="2"/>
      </rPr>
      <t>≤</t>
    </r>
    <r>
      <rPr>
        <sz val="11"/>
        <color theme="1"/>
        <rFont val="Times New Roman"/>
        <family val="1"/>
      </rPr>
      <t xml:space="preserve"> 5 yards 
(injury)</t>
    </r>
  </si>
  <si>
    <r>
      <t xml:space="preserve">dB </t>
    </r>
    <r>
      <rPr>
        <vertAlign val="subscript"/>
        <sz val="11"/>
        <color theme="0"/>
        <rFont val="Times New Roman"/>
        <family val="1"/>
      </rPr>
      <t>Leq</t>
    </r>
  </si>
  <si>
    <t>Point</t>
  </si>
  <si>
    <t>Line</t>
  </si>
  <si>
    <t>Rock crushing and screening equipment</t>
  </si>
  <si>
    <t>≤ 5 yards 
(injury)</t>
  </si>
  <si>
    <t>Hard</t>
  </si>
  <si>
    <t>Soft</t>
  </si>
  <si>
    <t>&gt; 1 mile</t>
  </si>
  <si>
    <t>0.25 to 1 mile</t>
  </si>
  <si>
    <t>≤ 100 yards 
(injury)</t>
  </si>
  <si>
    <t>Helicopter: Chinook 47d</t>
  </si>
  <si>
    <t>&gt; 0.5 mile</t>
  </si>
  <si>
    <t>266 yards to 
0.5 mile</t>
  </si>
  <si>
    <t>≤ 265 yards</t>
  </si>
  <si>
    <t>≤ 100 yards 
(injury/mortality)</t>
  </si>
  <si>
    <t>Helicopters: Boeing Vertol 107, Sikorsky S-64 (SkyCrane)</t>
  </si>
  <si>
    <t>151 yards to 0.25 mile</t>
  </si>
  <si>
    <t>≤ 150 yards</t>
  </si>
  <si>
    <t>≤ 50 yards 
(injury/mortality)</t>
  </si>
  <si>
    <t>Helicopters: K-MAX, Bell 206 L4, Hughes 500</t>
  </si>
  <si>
    <t>Small fixed-wing aircraft (Cessna 185, etc.)</t>
  </si>
  <si>
    <t>Tree Climbing</t>
  </si>
  <si>
    <t>Burning (prescribed fires, pile burning)</t>
  </si>
  <si>
    <r>
      <t>Source:</t>
    </r>
    <r>
      <rPr>
        <sz val="11"/>
        <color theme="1"/>
        <rFont val="Times New Roman"/>
        <family val="1"/>
      </rPr>
      <t xml:space="preserve"> Biological Opinion for Programmatic Forest Management Activities on the Olympic National Forest June 15, 2020 to June 15, 2030 (13410-2009-F-0388-R001; USFWS 2020, p. 143)</t>
    </r>
  </si>
  <si>
    <t>Underwater Project Noise Attenuation</t>
  </si>
  <si>
    <t>Underwater Ambient Sound Levels</t>
  </si>
  <si>
    <t>Habitat Type</t>
  </si>
  <si>
    <r>
      <t>Sound Level
dB</t>
    </r>
    <r>
      <rPr>
        <vertAlign val="subscript"/>
        <sz val="11"/>
        <color theme="1"/>
        <rFont val="Times New Roman"/>
        <family val="1"/>
      </rPr>
      <t>RMS</t>
    </r>
  </si>
  <si>
    <t>Marine waters with undeveloped to 
lightly developed shoreline</t>
  </si>
  <si>
    <r>
      <t>95</t>
    </r>
    <r>
      <rPr>
        <vertAlign val="superscript"/>
        <sz val="11"/>
        <color theme="1"/>
        <rFont val="Times New Roman"/>
        <family val="1"/>
      </rPr>
      <t>†</t>
    </r>
  </si>
  <si>
    <t>Marine waters with 
moderately developed shoreline</t>
  </si>
  <si>
    <r>
      <t>106</t>
    </r>
    <r>
      <rPr>
        <vertAlign val="superscript"/>
        <sz val="11"/>
        <color theme="1"/>
        <rFont val="Times New Roman"/>
        <family val="1"/>
      </rPr>
      <t>††</t>
    </r>
  </si>
  <si>
    <t>Marine waters with 
heavily developed shoreline</t>
  </si>
  <si>
    <r>
      <t>120</t>
    </r>
    <r>
      <rPr>
        <vertAlign val="superscript"/>
        <sz val="11"/>
        <color theme="1"/>
        <rFont val="Times New Roman"/>
        <family val="1"/>
      </rPr>
      <t>†††</t>
    </r>
  </si>
  <si>
    <t>Deep freshwater lakes &amp; 
slow moving rivers</t>
  </si>
  <si>
    <r>
      <t>Shallow (</t>
    </r>
    <r>
      <rPr>
        <sz val="11"/>
        <color theme="1"/>
        <rFont val="Calibri"/>
        <family val="2"/>
      </rPr>
      <t>≤</t>
    </r>
    <r>
      <rPr>
        <sz val="11"/>
        <color theme="1"/>
        <rFont val="Times New Roman"/>
        <family val="1"/>
      </rPr>
      <t>1' depth), fast moving rivers</t>
    </r>
  </si>
  <si>
    <r>
      <t>140</t>
    </r>
    <r>
      <rPr>
        <vertAlign val="superscript"/>
        <sz val="11"/>
        <color theme="1"/>
        <rFont val="Times New Roman"/>
        <family val="1"/>
      </rPr>
      <t>†††</t>
    </r>
  </si>
  <si>
    <t>Sources:</t>
  </si>
  <si>
    <t>† Viers and Viers, 2006</t>
  </si>
  <si>
    <t>†† Laughlin 2019</t>
  </si>
  <si>
    <t>††† WSDOT BA Prep. Manual 8-2020</t>
  </si>
  <si>
    <t>Distance for Attenuation to 
Ambient Sound Level:</t>
  </si>
  <si>
    <t>Things to look at:</t>
  </si>
  <si>
    <t>Variable</t>
  </si>
  <si>
    <t>Current Value</t>
  </si>
  <si>
    <t>Range to Evaluate</t>
  </si>
  <si>
    <t>% Change evaluated</t>
  </si>
  <si>
    <t>Outcome</t>
  </si>
  <si>
    <t>Assumptions</t>
  </si>
  <si>
    <t>Size of Bird groups</t>
  </si>
  <si>
    <t>1.73 birds/group</t>
  </si>
  <si>
    <t>1-2.5, by 0.1</t>
  </si>
  <si>
    <t>Assumes 1 pile with a radius of 175, average summer densities, and winter correction factor of 1.84, and no surveys</t>
  </si>
  <si>
    <t>Summer Density</t>
  </si>
  <si>
    <t>~1,000-2,200</t>
  </si>
  <si>
    <t>250-6500, by 250</t>
  </si>
  <si>
    <t>Assumes 1 pile with a radius of 175, 1.73 birds per group, and winter correction factor of 1.84, and no surveys</t>
  </si>
  <si>
    <t>Winter Correction Factor</t>
  </si>
  <si>
    <t>1.84*summer density</t>
  </si>
  <si>
    <t>1-3, by 0.1</t>
  </si>
  <si>
    <t>Assumes 1 pile, average densities, and bird group size of 1.74</t>
  </si>
  <si>
    <t>Radius of Area of Effect</t>
  </si>
  <si>
    <t>varies (175)</t>
  </si>
  <si>
    <t>5-355, by 10</t>
  </si>
  <si>
    <t>Assumes 1 pile, average summer densities, and bird group size of 1.74</t>
  </si>
  <si>
    <t>Survey Effectiveness</t>
  </si>
  <si>
    <t>0-100, by 5%</t>
  </si>
  <si>
    <t># of piles</t>
  </si>
  <si>
    <t>varies</t>
  </si>
  <si>
    <t>1-250, by 5</t>
  </si>
  <si>
    <t>all scenarios used winter densities and no surveys (except for the survey effectiveness evaluation)</t>
  </si>
  <si>
    <t>&gt;=1 group</t>
  </si>
  <si>
    <t>Average number of birds in a forage group</t>
  </si>
  <si>
    <t>Mean</t>
  </si>
  <si>
    <t>L95</t>
  </si>
  <si>
    <t>U95</t>
  </si>
  <si>
    <t># of groups meeting the 10% probability threshold</t>
  </si>
  <si>
    <t>these values are for mean densities only (no L95, U95)</t>
  </si>
  <si>
    <t>Winter correction factor</t>
  </si>
  <si>
    <t># of groups meeting the 10% probability threshold (mean density)</t>
  </si>
  <si>
    <t>Radius of Effect</t>
  </si>
  <si>
    <t># of Piles</t>
  </si>
  <si>
    <t>Likelihood of Marbled Murrelet Occurrence Model</t>
  </si>
  <si>
    <t>The objective of this model is to evaluate the likelihood of one or more murrelet flocks occurring in the marine environment within a spatial area of interest. A Poisson probability distribution was selected as the underlying probability based upon a visual inspection of data provided by Dr. Martin Raphael (2010 in litt.) depicting the frequency distribution of murrelet groups in the San Juan Islands of Puget Sound.</t>
  </si>
  <si>
    <t>The Poisson probability model depends upon a (Poisson) process that operates continually over some time or space where determining the likelihood of a “success,” referred to as an encounter, is the output of interest (for a more thorough discussion, see Ewart et al. 1974, pp. 175-193). The model is ideal for rare events that occur randomly over time or space when all that is known is the average number of occurrences of some event of interest during some specified time period.</t>
  </si>
  <si>
    <r>
      <t>In this model, the average (somewhat rare) occurrence of murrelet foraging groups in Puget Sound is considered as a Poisson process with an average group density (groups/km2), represented by λ, of birds occurring in Puget Sound</t>
    </r>
    <r>
      <rPr>
        <vertAlign val="superscript"/>
        <sz val="11"/>
        <color theme="1"/>
        <rFont val="Calibri"/>
        <family val="2"/>
        <scheme val="minor"/>
      </rPr>
      <t>1</t>
    </r>
    <r>
      <rPr>
        <sz val="11"/>
        <color theme="1"/>
        <rFont val="Calibri"/>
        <family val="2"/>
        <scheme val="minor"/>
      </rPr>
      <t>. Different values for λ (group density) were used for the winter and summer periods as defined above. Each event (i.e., the co-occurrence of a murrelet group in the same spatial extent of a stressor of interest) is treated as an independent events, each having an independent probability of containing 0, 1, or more murrelet individuals or murrelet groups foraging within some predefined area at the time of the explosion). Murrelet “encounters” with any stressor of interest can be defined in this manner.</t>
    </r>
  </si>
  <si>
    <t>Equation 2 was used to estimate the seasonal probabilities of 0, 1, 2,…x groups occurring within an area of interest in murrelet survey strata 2 or 3.</t>
  </si>
  <si>
    <t>Equation 2: ƒp (x|λ, t) = [(λt)x e- λt ] / x !</t>
  </si>
  <si>
    <t>where ƒp is the probability of x = 0, 1, 2,… flock encounters; e is the natural logarithm base approximately equal to 2.7183; λ = the mean number of flock encounters within a critical field; and t = the number of time units under consideration (Ewart et al. 1974, p. 189,190).</t>
  </si>
  <si>
    <t>Defined in this manner, λt is the mean number of flock encounters within a given critical field for t units of time representing the duration exposure to the high SPL. For example, when t = 1 second, the mean number of flock encounters is equal to λ (i.e., λt = λ) and the flock encounters for each season are derived from the seasonal (winter or summer) group density (group/km2) x ensonified (km2). The duration of an acoustic event from an explosion is less than one second, therefore the time element has no effect in the function.</t>
  </si>
  <si>
    <t>To assess the likelihood of murrelet exposure as described above, the following assumptions were made about murrelet foraging bouts:</t>
  </si>
  <si>
    <t>murrelets were assumed to occur at random points in space (but remain spatially constrained to the spatial unit under evaluations during the time it takes for the sound energy field to reach ambient levels; any occurrence of a murrelet flock is independent of all other murrelet flocks; there was a zero chance of two or more flocks occurring in the same spatial unit (i.e., two flocks will not be foraging at the same location at the same time) during one acoustic event; and λ remains constant throughout the given season of interest (i.e., there is a constant mean number of flock encounters for the winter and a separate mean for the summer).</t>
  </si>
  <si>
    <t>Although stressors such as underwater sound pressure waves can continue for distances exceeding several kilometers (depending on the wave characteristics, frequency, source levels, etc.), it is of foremost interest to predict the probability (p) of such an encounter with a murrelet group, which always has a value of 0 ≥p ≤1.0. We treated results where p ≥ 0.1 as an “encounter” and values of p &lt; 0.1 were treated as a “miss”.</t>
  </si>
  <si>
    <t>We use a probability of 10 percent as the point at or above which we consider murrelets “encountered”. The basis for the use 10 percent is described the FWS 2008 Biological Opinion (FWS #13410-2009-0020) on the U.S. Navy’s proposed Explosive Ordnance Disposal Training at Crescent Harbor (U.S. Fish and Wildlife Service 2008, p. 99).</t>
  </si>
  <si>
    <r>
      <rPr>
        <vertAlign val="superscript"/>
        <sz val="11"/>
        <color theme="1"/>
        <rFont val="Calibri"/>
        <family val="2"/>
        <scheme val="minor"/>
      </rPr>
      <t xml:space="preserve">1 </t>
    </r>
    <r>
      <rPr>
        <sz val="11"/>
        <color theme="1"/>
        <rFont val="Calibri"/>
        <family val="2"/>
        <scheme val="minor"/>
      </rPr>
      <t>We determined observation data (n=1,039) provided by Dr. Martin Raphael (2010 in litt.) on murrelet group size in the San Juan, Islands of Puget Sound represented a Poisson distribution.</t>
    </r>
  </si>
  <si>
    <t>References Cited</t>
  </si>
  <si>
    <t>Ewart et al. 1974</t>
  </si>
  <si>
    <t>Raphael, Martin.  2010. In Litt.</t>
  </si>
  <si>
    <t>Likelihood of 1 or more Groups of Foraging Murrelets Encountering one or more Pulse Acoustic Events in Puget Sound (including the Straits of Juan de Fuca and the San Juan Islands) in NW Washington</t>
  </si>
  <si>
    <t>KEY ASSUMPTIONS</t>
  </si>
  <si>
    <t>PARAMETERS</t>
  </si>
  <si>
    <t>RESULTS</t>
  </si>
  <si>
    <r>
      <t>Season</t>
    </r>
    <r>
      <rPr>
        <sz val="11"/>
        <color theme="1"/>
        <rFont val="Times New Roman"/>
        <family val="1"/>
      </rPr>
      <t xml:space="preserve"> </t>
    </r>
    <r>
      <rPr>
        <sz val="8"/>
        <color indexed="8"/>
        <rFont val="Times New Roman"/>
        <family val="1"/>
      </rPr>
      <t>(Winter is Oct-Mar; Summer is Apr-Sept)</t>
    </r>
  </si>
  <si>
    <t>Likelihood of a Murrelet Encounter within Distance to Injury Thresholds</t>
  </si>
  <si>
    <t>If Summer, select stratum</t>
  </si>
  <si>
    <t>SUMMER</t>
  </si>
  <si>
    <t>Murrelet Surveys Implemented?</t>
  </si>
  <si>
    <t>No</t>
  </si>
  <si>
    <t>Protocol Surveys?</t>
  </si>
  <si>
    <t>STRATUM</t>
  </si>
  <si>
    <t>percent</t>
  </si>
  <si>
    <t>**If you get a negative probability, your land mass is too large.</t>
  </si>
  <si>
    <t>Yes</t>
  </si>
  <si>
    <t>Distance from Shore</t>
  </si>
  <si>
    <t xml:space="preserve">Maximum (daily) duration of acoustic event </t>
  </si>
  <si>
    <t>minutes</t>
  </si>
  <si>
    <t>Distance to assumed onset of injury</t>
  </si>
  <si>
    <t>Area of Land Mass within 183 dB SEL Radius Circle</t>
  </si>
  <si>
    <r>
      <t>km</t>
    </r>
    <r>
      <rPr>
        <vertAlign val="superscript"/>
        <sz val="11"/>
        <rFont val="Times New Roman"/>
        <family val="1"/>
      </rPr>
      <t>2</t>
    </r>
  </si>
  <si>
    <t>Distance to Behavior Threshold (150 dB rms)</t>
  </si>
  <si>
    <r>
      <t>km</t>
    </r>
    <r>
      <rPr>
        <vertAlign val="superscript"/>
        <sz val="11"/>
        <color indexed="22"/>
        <rFont val="Times New Roman"/>
        <family val="1"/>
      </rPr>
      <t>2</t>
    </r>
  </si>
  <si>
    <t>WINTER</t>
  </si>
  <si>
    <t>Proportion of each foraging group underwater</t>
  </si>
  <si>
    <t>Adjusted Estimate of Murrelet Abundance: SUMMER</t>
  </si>
  <si>
    <t>Lower 95</t>
  </si>
  <si>
    <t>Upper 95</t>
  </si>
  <si>
    <t>ALL</t>
  </si>
  <si>
    <t>Stratum 1</t>
  </si>
  <si>
    <t>Stratum 2</t>
  </si>
  <si>
    <t>If you get a negative probability, your land mass is too large.</t>
  </si>
  <si>
    <t>Stratum 3</t>
  </si>
  <si>
    <r>
      <t>Estimated 2010/2011 Murrelet Summer Abundance</t>
    </r>
    <r>
      <rPr>
        <b/>
        <vertAlign val="superscript"/>
        <sz val="8"/>
        <color indexed="8"/>
        <rFont val="Times New Roman"/>
        <family val="1"/>
      </rPr>
      <t>1</t>
    </r>
    <r>
      <rPr>
        <b/>
        <sz val="8"/>
        <color indexed="8"/>
        <rFont val="Times New Roman"/>
        <family val="1"/>
      </rPr>
      <t xml:space="preserve"> </t>
    </r>
  </si>
  <si>
    <t>Ave Number of Birds per forage group [S(e)]</t>
  </si>
  <si>
    <r>
      <t xml:space="preserve">NOTE: The adjusted abundance during the </t>
    </r>
    <r>
      <rPr>
        <i/>
        <sz val="8"/>
        <color indexed="8"/>
        <rFont val="Times New Roman"/>
        <family val="1"/>
      </rPr>
      <t>Summer</t>
    </r>
    <r>
      <rPr>
        <sz val="8"/>
        <color indexed="8"/>
        <rFont val="Times New Roman"/>
        <family val="1"/>
      </rPr>
      <t xml:space="preserve"> in each stratum (mean, U95, and L95) were derived from the product of the overall current population estimate reported by Falxa (2014) and the average proportional contribution of each stratum to the annual estimate of abundance.  The average (2001-2009) proportional contribution of each stratum is: Stratum 1 = 0.53, Stratum 2 = 0.26, and Stratum 3 = 0.22.</t>
    </r>
  </si>
  <si>
    <t>Computed Murrelet Abundance: WINTER</t>
  </si>
  <si>
    <t>Conservation Zone 1</t>
  </si>
  <si>
    <t>Winter Abundance Correction Factor</t>
  </si>
  <si>
    <r>
      <rPr>
        <vertAlign val="superscript"/>
        <sz val="8"/>
        <rFont val="Times New Roman"/>
        <family val="1"/>
      </rPr>
      <t>1</t>
    </r>
    <r>
      <rPr>
        <sz val="8"/>
        <rFont val="Times New Roman"/>
        <family val="1"/>
      </rPr>
      <t xml:space="preserve"> Falxa, G.  2011.  U.S. Fish and Wildlife Service, Coordinator, Northwest Forest Plan Murrelet Effectiveness Monitoring, Arcata, CA.  2010 Murrelet survey data summary.  </t>
    </r>
  </si>
  <si>
    <t xml:space="preserve">Directions:  Fill green cells with the appropriate information using the inputs displayed next to each cell.  Inputs are not case sensitive.  </t>
  </si>
  <si>
    <t xml:space="preserve">Disclaimer:  This tool is intended only for use by US Fish and Wildlife Service employees.  The US Fish  and Wildlife Service assumes no responsibility from use of this tool by others outside of the US Fish and Wildlife Service. </t>
  </si>
  <si>
    <t>rev. cct 12/5/12</t>
  </si>
  <si>
    <t>DRAFT vDec2012</t>
  </si>
  <si>
    <t>2014 data updated L.Wright 8 Oct 2015</t>
  </si>
  <si>
    <t>CZ</t>
  </si>
  <si>
    <t>ST</t>
  </si>
  <si>
    <t>Birds</t>
  </si>
  <si>
    <t>MEAN</t>
  </si>
  <si>
    <t>NOTE: The estimated numbers in each stratum (mean, U95, and L95) for the historical estimates were derived from the historical ave. proportional contribution of each stratum to the overall population estimate.  These values were computed to be:  Stratum 1 = 0.53, Stratum 2 = 0.26, and Stratum 3 = 0.22.</t>
  </si>
  <si>
    <t>TOTAL</t>
  </si>
  <si>
    <t>NOTE: Historical mean (TOTAL numbers in bold italics text) estimates provided by D. Lynch via 27 May 2010 email.  These values are provided for referrence only and are NOT used in any calcs in this tab.</t>
  </si>
  <si>
    <t>NOTES:  1.  FOR INSTANTANEOUS EVENTS, LIKE THE UNDERWATER BLAST WHICH LASTS LESS THAN SECOND, USE THE UNDERWATER DENSITY, WHICH IS 72 % OF THE SURFACE DENSITY.  2) ASSUMED 22% OF THE MURRELETS REMAINED IN THE SURVEY AREA AFTER THE SURVEY</t>
  </si>
  <si>
    <t>2009 Summer &amp; Winter Murrelet Group Size Ratios: CONSERVATION ZONE 1</t>
  </si>
  <si>
    <t>Group Size</t>
  </si>
  <si>
    <t>Total</t>
  </si>
  <si>
    <t>MeanAdj (birds/group)</t>
  </si>
  <si>
    <t>Proportion</t>
  </si>
  <si>
    <t>Murrelet Winter Foraging Group Exposure Rates in Conservation Zone 1 (Strata 1, 2, &amp; 3 = 3,494 sqkm) as a Function of Area Size (in 30 m increments based upon the HISTORICAL MEAN of the Mean population size)</t>
  </si>
  <si>
    <t>Murrelet Summer Foraging Group Exposure Rates in Conservation Zone 1 (Stratum 1 = 839 sqkm) as a Function of Area Size (in 30 m radius increments) Based upon the HISTORICAL Mean Proportional Contribution of Stratum 1 towards the Mean population size</t>
  </si>
  <si>
    <t>Murrelet Summer Foraging Group Exposure Rates in Conservation Zone 1 (Stratum 3 = 1,458 sqkm) as a Function of Area Size (in 30 m radius increments) Based upon the HISTORICAL MEAN Proportional Contribution of Stratum 3 towards the mean population size)</t>
  </si>
  <si>
    <t>tot. # grps</t>
  </si>
  <si>
    <t>radius (m)</t>
  </si>
  <si>
    <t>Area Size (sqkm) of radius</t>
  </si>
  <si>
    <t>MM Groups in radius r (on surface)</t>
  </si>
  <si>
    <t>MM Groups in radius r (100% UW)</t>
  </si>
  <si>
    <t>Survey Adj MM Groups in radius r (100% UW)</t>
  </si>
  <si>
    <t>NO SURVEY P(X=0)</t>
  </si>
  <si>
    <t>NO SURVEYS</t>
  </si>
  <si>
    <t>SURVEYS</t>
  </si>
  <si>
    <t>P(X=1)</t>
  </si>
  <si>
    <t>Survey Adj P(X=1)</t>
  </si>
  <si>
    <t>P(X=2)</t>
  </si>
  <si>
    <t>Survey Adj P(X=2)</t>
  </si>
  <si>
    <t>P(X=3)</t>
  </si>
  <si>
    <t>Survey Adj P(X=3)</t>
  </si>
  <si>
    <t>P(X=4)</t>
  </si>
  <si>
    <t>Survey Adj P(X=4)</t>
  </si>
  <si>
    <t>P(X=5)</t>
  </si>
  <si>
    <t>Survey Adj P(X=5)</t>
  </si>
  <si>
    <t>radius r (m)</t>
  </si>
  <si>
    <t>NO SURVEY Psum P(X&gt;=1)</t>
  </si>
  <si>
    <t>Survey Adj Psum P(X&gt;=1)</t>
  </si>
  <si>
    <t>Murrelet Winter Foraging Group Exposure Rates in Conservation Zone 1 (Strata 1, 2, and 3 = 3,494 sqkm) as a Function of Area Size (in 30 m steps and based upon HISTORICAL MEAN UPPER 95CI Population Size)</t>
  </si>
  <si>
    <t>Murrelet Summer Foraging Group Exposure Rates in Conservation Zone 1 (Stratum 1 = 839 sqkm) as a Function of Area Size (in 30 m radius increments) based upon the HISTORICAL Mean Proportional Contribution of Stratum 1 towards the UPPER 95CI population size</t>
  </si>
  <si>
    <t>Murrelet Summer Foraging Group Exposure Rates in Conservation Zone 1 (Stratum 3 = 1,458 sqkm) as a Function of Area Size (in 30 m radius increments) Based upon HISTORICAL Mean Proportional Contribution of Stratum 3 towards the upper 95% CI population size)</t>
  </si>
  <si>
    <t>Murrelet Winter Foraging Group Exposure Rates in Conservation Zone 1 (Strata 1, 2, and 3 = 3,494 sqkm) as a Function of Area Size (in 30 m steps, based upon HISTORICAL MEAN lower 95CI)</t>
  </si>
  <si>
    <t>Murrelet Summer Foraging Group Exposure Rates in Conservation Zone 1 (Stratum 1 = 839 sqkm) as a Function of Area Size (in 30 m increments) based upon the HISTORICAL Mean Proportional Contribution of Stratum 1 towards the Lower 95CI population size</t>
  </si>
  <si>
    <t>Murrelet Summer Foraging Group Exposure Rates in Conservation Zone 1 (Stratum 3 = 1,458 sqkm) as a Function of Area Size (in 30 m radius increments) Based upon the HISTORICAL MEAN Proportional Contribution of Stratum 3 towards the Lower 95% CI population size)</t>
  </si>
  <si>
    <t>Murrelet Summer Foraging Group Exposure Rates in Conservation Zone 1 (Stratum 2 = 1,197 sqkm) as a Function of Area Size (in 30 m radius increments) Based upon the HISTORICAL Mean Proportional Contribution of Stratum 2 towards the MEAN population size)</t>
  </si>
  <si>
    <t>Murrelet Summer Foraging Group Exposure Rates in Conservation Zone 1 (Stratum 2 = 1,197 sqkm) as a Function of Area Size (in 30 m increments) based upon THE HISTORICAL Mean Proportional Contribution of Stratum 2 towards the Upper 95CI population size)</t>
  </si>
  <si>
    <t>Murrelet Summer Foraging Group Exposure Rates in Conservation Zone 1 (Stratum 2 = 1,197 sqkm) as a Function of Area Size (in 30 m increments) based upon THE HISTORICAL Mean Proportional Contribution of Stratum 2 towards the Lower 95CI population size)</t>
  </si>
  <si>
    <t>Daily Likelihood of 1 or more groups of Foraging Murrelets Encountering an Underwater Sound Fields from a Single Impulse in Puget Sound (including the Straits of Juan de Fuca and the San Juan Islands) in NW Washington</t>
  </si>
  <si>
    <t>Population data updated 8Oct 2015 L.Wright</t>
  </si>
  <si>
    <t>0 to 1.0</t>
  </si>
  <si>
    <t>Distance to Injury Threshold</t>
  </si>
  <si>
    <t>Area of Land Mass within Injury Radius Circle</t>
  </si>
  <si>
    <r>
      <t>Estimated Murrelet Summer Abundance</t>
    </r>
    <r>
      <rPr>
        <b/>
        <vertAlign val="superscript"/>
        <sz val="8"/>
        <color indexed="8"/>
        <rFont val="Times New Roman"/>
        <family val="1"/>
      </rPr>
      <t>1</t>
    </r>
    <r>
      <rPr>
        <b/>
        <sz val="8"/>
        <color indexed="8"/>
        <rFont val="Times New Roman"/>
        <family val="1"/>
      </rPr>
      <t xml:space="preserve"> </t>
    </r>
  </si>
  <si>
    <t>Ave Number of Birds per forage group [E(s)]</t>
  </si>
  <si>
    <r>
      <rPr>
        <vertAlign val="superscript"/>
        <sz val="8"/>
        <rFont val="Times New Roman"/>
        <family val="1"/>
      </rPr>
      <t>1</t>
    </r>
    <r>
      <rPr>
        <sz val="8"/>
        <rFont val="Times New Roman"/>
        <family val="1"/>
      </rPr>
      <t xml:space="preserve"> Falxa, G.  2014.  U.S. Fish and Wildlife Service, Coordinator, Northwest Forest Plan Murrelet Effectiveness Monitoring, Arcata, CA.  2009 Murrelet survey data summary.  </t>
    </r>
  </si>
  <si>
    <t>DRAFT v:May2011</t>
  </si>
  <si>
    <t>checking - calculations broken down into bites:</t>
  </si>
  <si>
    <t>mean</t>
  </si>
  <si>
    <t># of groups in winter = mean # of birds / mean # of birds in group * proportion underwater</t>
  </si>
  <si>
    <t>area of the disturbance = 3494 / ((pi r-squared * / 1 million) - land mass)</t>
  </si>
  <si>
    <t>what is the significance of 3494????</t>
  </si>
  <si>
    <t>converts square meters to km2 above by dividing by 1 million</t>
  </si>
  <si>
    <t>expected mean # of groups / km2 area of disturbance</t>
  </si>
  <si>
    <t>exponentiated</t>
  </si>
  <si>
    <t xml:space="preserve">p(x=1); this is the correct probability of 1 group being there within the area of disturbance </t>
  </si>
  <si>
    <t>p(x=2)</t>
  </si>
  <si>
    <t>p(x=3)</t>
  </si>
  <si>
    <t>p(x=4)</t>
  </si>
  <si>
    <t>p(x=5)</t>
  </si>
  <si>
    <r>
      <t>p(x</t>
    </r>
    <r>
      <rPr>
        <i/>
        <u/>
        <sz val="11"/>
        <color theme="1"/>
        <rFont val="Times New Roman"/>
        <family val="1"/>
      </rPr>
      <t>&gt;</t>
    </r>
    <r>
      <rPr>
        <i/>
        <sz val="11"/>
        <color theme="1"/>
        <rFont val="Times New Roman"/>
        <family val="1"/>
      </rPr>
      <t>1)</t>
    </r>
  </si>
  <si>
    <t>or 1 minus the probability of having zero birds impacted</t>
  </si>
  <si>
    <t>Bird #s updated 8Oct2015 L.Wright</t>
  </si>
  <si>
    <t>NOTE: The estimated numbers in each stratum (mean, U95, and L95) for the historical estimates were derived from the historical ave. proportional contribution of each stratum to the overall population estimate.  These values were computed to be:  Stratum 1 = 0.51, Stratum 2 = 0.26, and Stratum 3 = 0.24.</t>
  </si>
  <si>
    <t>Survey P(x=0)</t>
  </si>
  <si>
    <t>MM Groups in radius r (72% UW)</t>
  </si>
  <si>
    <t>Survey Adj MM Groups in radius r (72% UW)</t>
  </si>
  <si>
    <t>The following worksheet should only be edited by a USFWS WFWO Marbled Murrelet Lead</t>
  </si>
  <si>
    <t>Marbled Murrelet Encounter Cumulative Probability Model for Impact Pile Driving Projects in Conservation Zone 1</t>
  </si>
  <si>
    <t>For estimating the likelihood of encountering one or more foraging flocks</t>
  </si>
  <si>
    <t>Green cells = Input values from "Data Input" sheet</t>
  </si>
  <si>
    <t>Purple cells = Intermediate results. DO NOT CHANGE</t>
  </si>
  <si>
    <t>Yellow cells = Constants. DO NOT CHANGE</t>
  </si>
  <si>
    <t>Blue cells = Results shown based on the information in the green and yellow cells.  DO NOT CHANGE</t>
  </si>
  <si>
    <t>Piles within discrete seasons</t>
  </si>
  <si>
    <t>Likelihood of a murrelet exposure within:</t>
  </si>
  <si>
    <t>Description of Input Values and Constants</t>
  </si>
  <si>
    <t>Area of injury</t>
  </si>
  <si>
    <t>Masking zone</t>
  </si>
  <si>
    <t>Summer Season</t>
  </si>
  <si>
    <t xml:space="preserve">          If Summer, Stratum:</t>
  </si>
  <si>
    <r>
      <t xml:space="preserve">Number of Piles </t>
    </r>
    <r>
      <rPr>
        <sz val="11"/>
        <color indexed="8"/>
        <rFont val="Times New Roman"/>
        <family val="1"/>
      </rPr>
      <t>in Summer</t>
    </r>
  </si>
  <si>
    <r>
      <rPr>
        <b/>
        <sz val="11"/>
        <color indexed="8"/>
        <rFont val="Times New Roman"/>
        <family val="1"/>
      </rPr>
      <t>Days of Pile Driving</t>
    </r>
    <r>
      <rPr>
        <sz val="11"/>
        <color indexed="8"/>
        <rFont val="Times New Roman"/>
        <family val="1"/>
      </rPr>
      <t xml:space="preserve"> in Summer</t>
    </r>
  </si>
  <si>
    <t>Winter Season</t>
  </si>
  <si>
    <r>
      <t xml:space="preserve">Number of Piles </t>
    </r>
    <r>
      <rPr>
        <sz val="11"/>
        <color indexed="8"/>
        <rFont val="Times New Roman"/>
        <family val="1"/>
      </rPr>
      <t>in Winter</t>
    </r>
  </si>
  <si>
    <r>
      <rPr>
        <b/>
        <sz val="11"/>
        <color indexed="8"/>
        <rFont val="Times New Roman"/>
        <family val="1"/>
      </rPr>
      <t>Days of Pile Driving</t>
    </r>
    <r>
      <rPr>
        <sz val="11"/>
        <color indexed="8"/>
        <rFont val="Times New Roman"/>
        <family val="1"/>
      </rPr>
      <t xml:space="preserve"> in Winter</t>
    </r>
  </si>
  <si>
    <t xml:space="preserve">         Survey Effectiveness (78% if done to USFWS protocol)</t>
  </si>
  <si>
    <r>
      <t xml:space="preserve">Number of Piles </t>
    </r>
    <r>
      <rPr>
        <sz val="11"/>
        <color indexed="8"/>
        <rFont val="Times New Roman"/>
        <family val="1"/>
      </rPr>
      <t>(for entire project)</t>
    </r>
  </si>
  <si>
    <t>Piles</t>
  </si>
  <si>
    <r>
      <t xml:space="preserve">Days of Pile Driving </t>
    </r>
    <r>
      <rPr>
        <sz val="11"/>
        <color indexed="8"/>
        <rFont val="Times New Roman"/>
        <family val="1"/>
      </rPr>
      <t>(for entire project)</t>
    </r>
  </si>
  <si>
    <r>
      <t xml:space="preserve">Radius of Area of Effect </t>
    </r>
    <r>
      <rPr>
        <sz val="11"/>
        <color indexed="8"/>
        <rFont val="Times New Roman"/>
        <family val="1"/>
      </rPr>
      <t>(max. on any given day of the project)</t>
    </r>
  </si>
  <si>
    <t>Area of Effect</t>
  </si>
  <si>
    <r>
      <t>km</t>
    </r>
    <r>
      <rPr>
        <vertAlign val="superscript"/>
        <sz val="11"/>
        <color theme="1"/>
        <rFont val="Times New Roman"/>
        <family val="1"/>
      </rPr>
      <t>2</t>
    </r>
  </si>
  <si>
    <t>Percentage Land Mass within Area of Effect</t>
  </si>
  <si>
    <t>If all piles were within a single season</t>
  </si>
  <si>
    <t>Land Mass Area Within Area of Effect</t>
  </si>
  <si>
    <t>Avg Number of Birds per forage group [S(e)]</t>
  </si>
  <si>
    <r>
      <t>Estimate of Murrelet density (birds/km</t>
    </r>
    <r>
      <rPr>
        <b/>
        <vertAlign val="superscript"/>
        <sz val="11"/>
        <color indexed="8"/>
        <rFont val="Times New Roman"/>
        <family val="1"/>
      </rPr>
      <t>2</t>
    </r>
    <r>
      <rPr>
        <b/>
        <sz val="11"/>
        <color indexed="8"/>
        <rFont val="Times New Roman"/>
        <family val="1"/>
      </rPr>
      <t>) SUMMER</t>
    </r>
  </si>
  <si>
    <r>
      <t>Estimated Most Recent 5-yr Avg. Murrelet Summer Density</t>
    </r>
    <r>
      <rPr>
        <b/>
        <vertAlign val="superscript"/>
        <sz val="11"/>
        <color indexed="8"/>
        <rFont val="Times New Roman"/>
        <family val="1"/>
      </rPr>
      <t>1</t>
    </r>
    <r>
      <rPr>
        <b/>
        <sz val="11"/>
        <color indexed="8"/>
        <rFont val="Times New Roman"/>
        <family val="1"/>
      </rPr>
      <t xml:space="preserve"> for Conservation Zone 1</t>
    </r>
  </si>
  <si>
    <t>Computed Murrelet Density WINTER</t>
  </si>
  <si>
    <t>Winter Avg Number of Birds per forage group [S(e)]</t>
  </si>
  <si>
    <t xml:space="preserve">Disclaimer:  This tool is intended only for use by US Fish and Wildlife Service employees.  The US Fish  and Wildlife Service assumes no responsibility from use of this tool by others outside of the US Fish and Wildlife Service.                </t>
  </si>
  <si>
    <r>
      <rPr>
        <u/>
        <sz val="11"/>
        <color theme="1"/>
        <rFont val="Times New Roman"/>
        <family val="1"/>
      </rPr>
      <t>To determine what Zone and Stratum your project is in, see "Stratum Map_Conservation Zone 1"</t>
    </r>
    <r>
      <rPr>
        <sz val="11"/>
        <color theme="1"/>
        <rFont val="Times New Roman"/>
        <family val="1"/>
      </rPr>
      <t>:</t>
    </r>
  </si>
  <si>
    <t>https://fishnet.fws.doi.net/regions/1/eco/WWES/programs/CCP/Issues/Forms/AllItems.aspx</t>
  </si>
  <si>
    <r>
      <rPr>
        <u/>
        <sz val="11"/>
        <color theme="1"/>
        <rFont val="Times New Roman"/>
        <family val="1"/>
      </rPr>
      <t>Number of Piles</t>
    </r>
    <r>
      <rPr>
        <sz val="11"/>
        <color theme="1"/>
        <rFont val="Times New Roman"/>
        <family val="1"/>
      </rPr>
      <t>: Enter the total number of piles for the entire project that would be installed during the summer or winter season.</t>
    </r>
  </si>
  <si>
    <r>
      <rPr>
        <u/>
        <sz val="11"/>
        <color theme="1"/>
        <rFont val="Times New Roman"/>
        <family val="1"/>
      </rPr>
      <t>Land Mass within Area of Effect</t>
    </r>
    <r>
      <rPr>
        <sz val="11"/>
        <color theme="1"/>
        <rFont val="Times New Roman"/>
        <family val="1"/>
      </rPr>
      <t xml:space="preserve">: This includes the areas we would not expect murrelets, like on land or under piers. </t>
    </r>
  </si>
  <si>
    <t># of groups expected in the area of effect at a given time</t>
  </si>
  <si>
    <t>for calibration (calculating a probability of a single event(1 pile))</t>
  </si>
  <si>
    <t>reference: http://stattrek.com/online-calculator/poisson.aspx</t>
  </si>
  <si>
    <t>mean bird groups</t>
  </si>
  <si>
    <t>Prob of # groups</t>
  </si>
  <si>
    <t>&gt;=1</t>
  </si>
  <si>
    <t>for</t>
  </si>
  <si>
    <t>piles</t>
  </si>
  <si>
    <t xml:space="preserve">All Conservation Zones (Zones 1-5) </t>
  </si>
  <si>
    <t>Conservation Zone 1 - All Stratums</t>
  </si>
  <si>
    <t>Conservation Zone 2 (All Stratums)</t>
  </si>
  <si>
    <t>Conservation Zone 3 (All Stratums)</t>
  </si>
  <si>
    <t>Conservation Zone 4 (All Stratums)</t>
  </si>
  <si>
    <t>Conservation Zone 5 (All Stratums)</t>
  </si>
  <si>
    <t>Conservation Zone 6</t>
  </si>
  <si>
    <t>Year</t>
  </si>
  <si>
    <r>
      <t>Density (birds/km</t>
    </r>
    <r>
      <rPr>
        <b/>
        <vertAlign val="superscript"/>
        <sz val="11"/>
        <color theme="1"/>
        <rFont val="Times New Roman"/>
        <family val="1"/>
      </rPr>
      <t>2</t>
    </r>
    <r>
      <rPr>
        <b/>
        <sz val="11"/>
        <color theme="1"/>
        <rFont val="Times New Roman"/>
        <family val="1"/>
      </rPr>
      <t>)</t>
    </r>
  </si>
  <si>
    <t>Coefficient of Variation of Density (%)</t>
  </si>
  <si>
    <t>Birds Lower 95% CL</t>
  </si>
  <si>
    <r>
      <t>Density Lower 95% CL (birds/km</t>
    </r>
    <r>
      <rPr>
        <b/>
        <vertAlign val="superscript"/>
        <sz val="11"/>
        <color theme="1"/>
        <rFont val="Times New Roman"/>
        <family val="1"/>
      </rPr>
      <t>2</t>
    </r>
    <r>
      <rPr>
        <b/>
        <sz val="11"/>
        <color theme="1"/>
        <rFont val="Times New Roman"/>
        <family val="1"/>
      </rPr>
      <t>)</t>
    </r>
  </si>
  <si>
    <t>Birds Upper 95% CL</t>
  </si>
  <si>
    <r>
      <t>Density Upper 95% CL (birds/km</t>
    </r>
    <r>
      <rPr>
        <b/>
        <vertAlign val="superscript"/>
        <sz val="11"/>
        <color theme="1"/>
        <rFont val="Times New Roman"/>
        <family val="1"/>
      </rPr>
      <t>2</t>
    </r>
    <r>
      <rPr>
        <b/>
        <sz val="11"/>
        <color theme="1"/>
        <rFont val="Times New Roman"/>
        <family val="1"/>
      </rPr>
      <t>)</t>
    </r>
  </si>
  <si>
    <r>
      <t>Area (km</t>
    </r>
    <r>
      <rPr>
        <b/>
        <vertAlign val="superscript"/>
        <sz val="11"/>
        <color theme="1"/>
        <rFont val="Times New Roman"/>
        <family val="1"/>
      </rPr>
      <t>2</t>
    </r>
    <r>
      <rPr>
        <b/>
        <sz val="11"/>
        <color theme="1"/>
        <rFont val="Times New Roman"/>
        <family val="1"/>
      </rPr>
      <t>)</t>
    </r>
  </si>
  <si>
    <r>
      <t>Density Lower CL (birds/km</t>
    </r>
    <r>
      <rPr>
        <b/>
        <vertAlign val="superscript"/>
        <sz val="11"/>
        <color theme="1"/>
        <rFont val="Times New Roman"/>
        <family val="1"/>
      </rPr>
      <t>2</t>
    </r>
    <r>
      <rPr>
        <b/>
        <sz val="11"/>
        <color theme="1"/>
        <rFont val="Times New Roman"/>
        <family val="1"/>
      </rPr>
      <t>)</t>
    </r>
  </si>
  <si>
    <t>f(0)</t>
  </si>
  <si>
    <t>E(s)</t>
  </si>
  <si>
    <t>Truncation Distance (m)</t>
  </si>
  <si>
    <r>
      <t>Density (birds/ km</t>
    </r>
    <r>
      <rPr>
        <b/>
        <vertAlign val="superscript"/>
        <sz val="11"/>
        <color theme="1"/>
        <rFont val="Times New Roman"/>
        <family val="1"/>
      </rPr>
      <t>2</t>
    </r>
    <r>
      <rPr>
        <b/>
        <sz val="11"/>
        <color theme="1"/>
        <rFont val="Times New Roman"/>
        <family val="1"/>
      </rPr>
      <t>)</t>
    </r>
  </si>
  <si>
    <r>
      <t>Density Lower 95% CL  (birds/km</t>
    </r>
    <r>
      <rPr>
        <b/>
        <vertAlign val="superscript"/>
        <sz val="11"/>
        <color theme="1"/>
        <rFont val="Times New Roman"/>
        <family val="1"/>
      </rPr>
      <t>2</t>
    </r>
    <r>
      <rPr>
        <b/>
        <sz val="11"/>
        <color theme="1"/>
        <rFont val="Times New Roman"/>
        <family val="1"/>
      </rPr>
      <t>)</t>
    </r>
  </si>
  <si>
    <t>Density</t>
  </si>
  <si>
    <t>se</t>
  </si>
  <si>
    <t>lambda</t>
  </si>
  <si>
    <t>-</t>
  </si>
  <si>
    <t>interpolated</t>
  </si>
  <si>
    <t>Conservation Zone 4 was not surveyed in 2014, interpolated value used for All Zone calculation</t>
  </si>
  <si>
    <t>Conservation Zone 5 not surveyed in 2014. Extrapolated value used for All Zone calculation.</t>
  </si>
  <si>
    <t>Conservation Zone 3 was not surveyed in 2015, Average of 2014 and 2016 estimates used for All-Zones estimate</t>
  </si>
  <si>
    <t xml:space="preserve">Conservation Zone 5 not surveyed in 2015 - no data. </t>
  </si>
  <si>
    <t>Not surveyed in 2016, extrapolated value used for All-Zones estimate.</t>
  </si>
  <si>
    <t>Not surveyed in 2016</t>
  </si>
  <si>
    <t>Not surveyed</t>
  </si>
  <si>
    <t>5 yr AVG</t>
  </si>
  <si>
    <t>Conservation Zone 1 - Stratum 1</t>
  </si>
  <si>
    <t>Conservation Zone 1 - Stratum 2</t>
  </si>
  <si>
    <t>Conservation Zone 1 - Stratum 3</t>
  </si>
  <si>
    <t>Conservation Zone 2 - Stratum 1</t>
  </si>
  <si>
    <t>Conservation Zone 2 - Stratum 2</t>
  </si>
  <si>
    <t>Conservation Zone 3-Stratum 1</t>
  </si>
  <si>
    <t>Conservation Zone 3-Stratum 2</t>
  </si>
  <si>
    <t>Conservation Zone 4-Stratum 1</t>
  </si>
  <si>
    <t>Conservation Zone 4-Stratum 2</t>
  </si>
  <si>
    <t>Conservation Zone 5-Stratum 1</t>
  </si>
  <si>
    <t>Conservation Zone 5-Stratum 2</t>
  </si>
  <si>
    <r>
      <t>Lower 95% CL Density (birds/km</t>
    </r>
    <r>
      <rPr>
        <b/>
        <vertAlign val="superscript"/>
        <sz val="11"/>
        <color theme="1"/>
        <rFont val="Times New Roman"/>
        <family val="1"/>
      </rPr>
      <t>2</t>
    </r>
    <r>
      <rPr>
        <b/>
        <sz val="11"/>
        <color theme="1"/>
        <rFont val="Times New Roman"/>
        <family val="1"/>
      </rPr>
      <t>)</t>
    </r>
  </si>
  <si>
    <r>
      <t>Upper 95% CL Density (birds/km</t>
    </r>
    <r>
      <rPr>
        <b/>
        <vertAlign val="superscript"/>
        <sz val="11"/>
        <color theme="1"/>
        <rFont val="Times New Roman"/>
        <family val="1"/>
      </rPr>
      <t>2</t>
    </r>
    <r>
      <rPr>
        <b/>
        <sz val="11"/>
        <color theme="1"/>
        <rFont val="Times New Roman"/>
        <family val="1"/>
      </rPr>
      <t>)</t>
    </r>
  </si>
  <si>
    <r>
      <t>Lower CL Density (birds/km</t>
    </r>
    <r>
      <rPr>
        <b/>
        <vertAlign val="superscript"/>
        <sz val="11"/>
        <color theme="1"/>
        <rFont val="Times New Roman"/>
        <family val="1"/>
      </rPr>
      <t>2</t>
    </r>
    <r>
      <rPr>
        <b/>
        <sz val="11"/>
        <color theme="1"/>
        <rFont val="Times New Roman"/>
        <family val="1"/>
      </rPr>
      <t>)</t>
    </r>
  </si>
  <si>
    <r>
      <t>Upper CL Density (birds/km</t>
    </r>
    <r>
      <rPr>
        <b/>
        <vertAlign val="superscript"/>
        <sz val="11"/>
        <color theme="1"/>
        <rFont val="Times New Roman"/>
        <family val="1"/>
      </rPr>
      <t>2</t>
    </r>
    <r>
      <rPr>
        <b/>
        <sz val="11"/>
        <color theme="1"/>
        <rFont val="Times New Roman"/>
        <family val="1"/>
      </rPr>
      <t>)</t>
    </r>
  </si>
  <si>
    <t>*</t>
  </si>
  <si>
    <t>n/a</t>
  </si>
  <si>
    <t>Conservation Zone 3 not surveyed in 2015-no data</t>
  </si>
  <si>
    <t>Conservation Zone 5 not surveyed in 2015 - no data</t>
  </si>
  <si>
    <t>Zone</t>
  </si>
  <si>
    <t>Survey Area (km^2)</t>
  </si>
  <si>
    <t>s1</t>
  </si>
  <si>
    <t>S2</t>
  </si>
  <si>
    <t>S3</t>
  </si>
  <si>
    <t>Overall (CZ1 - CZ5)</t>
  </si>
  <si>
    <t>Conservation Zone 2</t>
  </si>
  <si>
    <t>Conservation Zone 3</t>
  </si>
  <si>
    <t>Conservation Zone 4</t>
  </si>
  <si>
    <t>Conservation Zone 5</t>
  </si>
  <si>
    <t>lamda</t>
  </si>
  <si>
    <t xml:space="preserve">U95 </t>
  </si>
  <si>
    <t>CZ1S1_Density</t>
  </si>
  <si>
    <t>CZ1S1_Birds</t>
  </si>
  <si>
    <t>Lambda</t>
  </si>
  <si>
    <t>CZ1S1_L95</t>
  </si>
  <si>
    <t>CZ1S2_U95</t>
  </si>
  <si>
    <t>CZ1S2_Density</t>
  </si>
  <si>
    <t>CZ1S2_Birds</t>
  </si>
  <si>
    <t>CZ1S2_L95</t>
  </si>
  <si>
    <t>CZ1S3_Density</t>
  </si>
  <si>
    <t>CZ1S3_Birds</t>
  </si>
  <si>
    <t>CZ1S3_L95</t>
  </si>
  <si>
    <t>CZ1S3_U95</t>
  </si>
  <si>
    <t>CZ2S1_Density</t>
  </si>
  <si>
    <t>CZ2S1_Birds</t>
  </si>
  <si>
    <t>CZ2S1_L95</t>
  </si>
  <si>
    <t>CZ2S1_U95</t>
  </si>
  <si>
    <t>CZ2S2_Density</t>
  </si>
  <si>
    <t>CZ2S2_Birds</t>
  </si>
  <si>
    <t>CZ2S2_L95</t>
  </si>
  <si>
    <t>CZ2S2_U95</t>
  </si>
  <si>
    <t>CZ3S1_Density</t>
  </si>
  <si>
    <t>CZ3S1_Birds</t>
  </si>
  <si>
    <t>CZ3S1_L95</t>
  </si>
  <si>
    <t>CZ3S1_U95</t>
  </si>
  <si>
    <t>CZ3S2_Density</t>
  </si>
  <si>
    <t>CZ3S2_Birds</t>
  </si>
  <si>
    <t>CZ3S2_L95</t>
  </si>
  <si>
    <t>CZ3S2_U95</t>
  </si>
  <si>
    <t>CZ4S1_Density</t>
  </si>
  <si>
    <t>CZ4S1_Birds</t>
  </si>
  <si>
    <t>CZ4S1_L95</t>
  </si>
  <si>
    <t>CZ4S1_U95</t>
  </si>
  <si>
    <t>CZ4S2_Density</t>
  </si>
  <si>
    <t>CZ4S2_Birds</t>
  </si>
  <si>
    <t>CZ4S2_L95</t>
  </si>
  <si>
    <t>CZ4S2_U95</t>
  </si>
  <si>
    <t>CZ5S1_Density</t>
  </si>
  <si>
    <t>CZ5S1_Birds</t>
  </si>
  <si>
    <t>CZ5S1_L95</t>
  </si>
  <si>
    <t>CZ5S1_U95</t>
  </si>
  <si>
    <t>CZ5S2_Density</t>
  </si>
  <si>
    <t>CZ5S2_Birds</t>
  </si>
  <si>
    <t>CZ5S2_L95</t>
  </si>
  <si>
    <t>CZ5S2_U95</t>
  </si>
  <si>
    <t>North_Density</t>
  </si>
  <si>
    <t>North_Birds</t>
  </si>
  <si>
    <t>North_L95</t>
  </si>
  <si>
    <t>North_U95</t>
  </si>
  <si>
    <t>South_Density</t>
  </si>
  <si>
    <t>South_Birds</t>
  </si>
  <si>
    <t>South_L95</t>
  </si>
  <si>
    <t>South_U95</t>
  </si>
  <si>
    <t>Both_Density</t>
  </si>
  <si>
    <t>Both_Birds</t>
  </si>
  <si>
    <t>Both_L95</t>
  </si>
  <si>
    <t>Both_U95</t>
  </si>
  <si>
    <t>The following worksheets should only be edited by the USFWS WFWO Bioacoustics Lead</t>
  </si>
  <si>
    <t>Pile Driving Data</t>
  </si>
  <si>
    <t>Pile Size</t>
  </si>
  <si>
    <t>concat</t>
  </si>
  <si>
    <t>Peak</t>
  </si>
  <si>
    <t>RMS</t>
  </si>
  <si>
    <t>SEL</t>
  </si>
  <si>
    <t>Distance of measurement</t>
  </si>
  <si>
    <t>Reference</t>
  </si>
  <si>
    <t>Larger than 24"?</t>
  </si>
  <si>
    <t>Notes</t>
  </si>
  <si>
    <t>Concrete</t>
  </si>
  <si>
    <t>Hollow</t>
  </si>
  <si>
    <t>36-inch</t>
  </si>
  <si>
    <t>Laughlin 2007</t>
  </si>
  <si>
    <t>Y</t>
  </si>
  <si>
    <t>Mukilteo Ferry Terminal. Wood pile cap used (R4). Total of 193 pile strikes to install. Water was 24- to 42-ft deep</t>
  </si>
  <si>
    <t>Octagonal</t>
  </si>
  <si>
    <t>24-inch</t>
  </si>
  <si>
    <t>N</t>
  </si>
  <si>
    <t>Mukilteo Test Pile (T3). Max. values. Total strikes 572</t>
  </si>
  <si>
    <t>SolidOctagonal</t>
  </si>
  <si>
    <t>Mukilteo Ferry Terminal. Wood pile cap used (T1). Total of 184 pile strikes to install. Water was 24- to 42-ft deep</t>
  </si>
  <si>
    <t>Square</t>
  </si>
  <si>
    <t>18-inch Square w/ bubble curtain</t>
  </si>
  <si>
    <t>Anderson and Reyff 2006</t>
  </si>
  <si>
    <t>Measured levels w/ bubble curtain on. 18 by 18-inch square piles</t>
  </si>
  <si>
    <t>UnspecifiedConc</t>
  </si>
  <si>
    <t>Caltrans 2007</t>
  </si>
  <si>
    <t>Plastic</t>
  </si>
  <si>
    <t>UnspecifiedPlas</t>
  </si>
  <si>
    <t>13-inch</t>
  </si>
  <si>
    <t>Illingworth &amp; Rodkin 2014</t>
  </si>
  <si>
    <t>Steel</t>
  </si>
  <si>
    <t>H</t>
  </si>
  <si>
    <t xml:space="preserve">10-inch </t>
  </si>
  <si>
    <t>San Rafael Canal, diesel impact hammer</t>
  </si>
  <si>
    <t>12-inch (battered)</t>
  </si>
  <si>
    <t>Noyo River, Fort Bragg, CA, project on Pacific Coast, near the mouth of river, Impact hammer</t>
  </si>
  <si>
    <t>12-inch (thin)</t>
  </si>
  <si>
    <t>12-inch (thick)</t>
  </si>
  <si>
    <t>14-inch</t>
  </si>
  <si>
    <t>14-inch
(thick)</t>
  </si>
  <si>
    <t>15-inch
(battered and thin)</t>
  </si>
  <si>
    <t>Ballena Isle Marina, San Francisco Bay, Alameda, Ca., driven battered, close to slough shore, water depth 2-3m.  Sound was collected 1st day only, for a short time.</t>
  </si>
  <si>
    <t>15-inch
(thick)</t>
  </si>
  <si>
    <t>Pipe</t>
  </si>
  <si>
    <t>8-inch</t>
  </si>
  <si>
    <t>Vagle 2003</t>
  </si>
  <si>
    <t>This SPL (extrapolated using practical spreading) is based on the following assumptions:  that Vagle “back-calculated” his measurements to 1 m using 20 kPA at 25 m as a starting point; use Vagle 2003 with caution.  Methods are difficult to discern and vary from site to site.</t>
  </si>
  <si>
    <t>12-inch</t>
  </si>
  <si>
    <t>Laughlin 2006</t>
  </si>
  <si>
    <t>Pile driving a the Cape Disappointment Boat Launch facility wave barrier project</t>
  </si>
  <si>
    <t>16-inch</t>
  </si>
  <si>
    <t>Laughlin 2004</t>
  </si>
  <si>
    <t>Measured at 9 m, Yakima River, measured at ~ 1 ft from bottom, between 16 and 20 ft deep (~5 to 6 m). Substrate was medium to very dense well to poorly graded gravel w/sand, cobbles, and boulders. Steel piles ½-inch wall thickness.</t>
  </si>
  <si>
    <t>20-inch</t>
  </si>
  <si>
    <t>Pommerenck 2006</t>
  </si>
  <si>
    <t>Stockton, CA, San Joaquin River; diesel Delmag D19-42impact, proofing, max. values, no attenuation, temp. piles, water depth 2- to 3-meters, mid-water depth, 5- to 10-minutes to proof each pile</t>
  </si>
  <si>
    <t>Chose to use Illingworth and Rodkin data (from among other data sources) in 2017 due to our confidence in the authors. Selected the loudest data from Illingworth and Rodkin 2014</t>
  </si>
  <si>
    <t>30-inch</t>
  </si>
  <si>
    <t>Sexton 2007</t>
  </si>
  <si>
    <t>Selected the most applicable data from data available (from Anacortes ferry terminal, with a large number of strikes)</t>
  </si>
  <si>
    <t>40-inch</t>
  </si>
  <si>
    <t xml:space="preserve">Alameda Estuary (Bay); diesel Delmag D80 impact </t>
  </si>
  <si>
    <t>48-inch</t>
  </si>
  <si>
    <t>Russian River.  Water depth was 2m at the deepest and river was 15 m wide; low flow conditions but levels varied during driving. Diesel Delmag D100-13 impact hammer.</t>
  </si>
  <si>
    <t>60-inch CISS</t>
  </si>
  <si>
    <t>66-inch</t>
  </si>
  <si>
    <t>San Francisco Bay, San Raphael Ca; diesel Delmag D62 or D100 impact hammer; water depth 4m.</t>
  </si>
  <si>
    <t>96-inch</t>
  </si>
  <si>
    <t>Benecia Ca, Carquinez Straits; hydraulic Menck MHU500T impact hammer</t>
  </si>
  <si>
    <t>96-inch CISS</t>
  </si>
  <si>
    <t>126-inch</t>
  </si>
  <si>
    <t>San Francisco Bay; hydraulic submersible hammer</t>
  </si>
  <si>
    <t>Sheet</t>
  </si>
  <si>
    <t>NoSize</t>
  </si>
  <si>
    <t>Wood</t>
  </si>
  <si>
    <t>UnspecifiedWood</t>
  </si>
  <si>
    <t>WSDOT</t>
  </si>
  <si>
    <t>Material</t>
  </si>
  <si>
    <t>Concrete Types</t>
  </si>
  <si>
    <t>Plastic Types</t>
  </si>
  <si>
    <t>Steel Types</t>
  </si>
  <si>
    <t>Wood Types</t>
  </si>
  <si>
    <t>Concrete Sizes</t>
  </si>
  <si>
    <t>Plastic Sizes</t>
  </si>
  <si>
    <t>Steel Sizes</t>
  </si>
  <si>
    <t>Wood Sizes</t>
  </si>
  <si>
    <t xml:space="preserve">18-inch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</si>
</sst>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_(* \(#,##0.00\);_(* &quot;-&quot;??_);_(@_)"/>
    <numFmt numFmtId="164" formatCode="0.000"/>
    <numFmt numFmtId="165" formatCode="0.0"/>
    <numFmt numFmtId="166" formatCode="0.0000"/>
    <numFmt numFmtId="167" formatCode="0.00000"/>
    <numFmt numFmtId="168" formatCode="0.0%"/>
    <numFmt numFmtId="169" formatCode="0.0000000"/>
    <numFmt numFmtId="170" formatCode="#,##0.0"/>
  </numFmts>
  <fonts count="103" x14ac:knownFonts="1">
    <font>
      <sz val="11"/>
      <color theme="1"/>
      <name val="Calibri"/>
      <family val="2"/>
      <scheme val="minor"/>
    </font>
    <font>
      <sz val="11"/>
      <color theme="1"/>
      <name val="Calibri"/>
      <family val="2"/>
      <scheme val="minor"/>
    </font>
    <font>
      <b/>
      <sz val="11"/>
      <color theme="1"/>
      <name val="Calibri"/>
      <family val="2"/>
      <scheme val="minor"/>
    </font>
    <font>
      <b/>
      <sz val="14"/>
      <color theme="1"/>
      <name val="Calibri"/>
      <family val="2"/>
      <scheme val="minor"/>
    </font>
    <font>
      <b/>
      <sz val="9"/>
      <color indexed="81"/>
      <name val="Tahoma"/>
      <family val="2"/>
    </font>
    <font>
      <sz val="9"/>
      <color indexed="81"/>
      <name val="Tahoma"/>
      <family val="2"/>
    </font>
    <font>
      <sz val="10"/>
      <color theme="1"/>
      <name val="Arial"/>
      <family val="2"/>
    </font>
    <font>
      <vertAlign val="superscript"/>
      <sz val="11"/>
      <color theme="1"/>
      <name val="Calibri"/>
      <family val="2"/>
      <scheme val="minor"/>
    </font>
    <font>
      <u/>
      <sz val="11"/>
      <color theme="10"/>
      <name val="Calibri"/>
      <family val="2"/>
      <scheme val="minor"/>
    </font>
    <font>
      <sz val="10"/>
      <color indexed="16"/>
      <name val="Arial"/>
      <family val="2"/>
    </font>
    <font>
      <b/>
      <i/>
      <sz val="11"/>
      <name val="Monotype Corsiva"/>
      <family val="4"/>
    </font>
    <font>
      <sz val="8"/>
      <name val="Arial"/>
      <family val="2"/>
    </font>
    <font>
      <b/>
      <sz val="10"/>
      <name val="Arial"/>
      <family val="2"/>
    </font>
    <font>
      <b/>
      <sz val="12"/>
      <name val="Arial"/>
      <family val="2"/>
    </font>
    <font>
      <sz val="10"/>
      <name val="Arial"/>
      <family val="2"/>
    </font>
    <font>
      <b/>
      <sz val="10"/>
      <color theme="1"/>
      <name val="Times New Roman"/>
      <family val="1"/>
    </font>
    <font>
      <sz val="10"/>
      <color theme="1"/>
      <name val="Times New Roman"/>
      <family val="1"/>
    </font>
    <font>
      <sz val="11"/>
      <color theme="1"/>
      <name val="Times New Roman"/>
      <family val="1"/>
    </font>
    <font>
      <b/>
      <sz val="10"/>
      <color indexed="81"/>
      <name val="Tahoma"/>
      <family val="2"/>
    </font>
    <font>
      <sz val="10"/>
      <color indexed="81"/>
      <name val="Tahoma"/>
      <family val="2"/>
    </font>
    <font>
      <b/>
      <sz val="11"/>
      <color theme="1"/>
      <name val="Times New Roman"/>
      <family val="1"/>
    </font>
    <font>
      <b/>
      <sz val="16"/>
      <color theme="1"/>
      <name val="Calibri"/>
      <family val="2"/>
      <scheme val="minor"/>
    </font>
    <font>
      <b/>
      <sz val="12"/>
      <color theme="1"/>
      <name val="Calibri"/>
      <family val="2"/>
      <scheme val="minor"/>
    </font>
    <font>
      <sz val="12"/>
      <color theme="1"/>
      <name val="Calibri"/>
      <family val="2"/>
      <scheme val="minor"/>
    </font>
    <font>
      <sz val="11"/>
      <color theme="0" tint="-0.249977111117893"/>
      <name val="Calibri"/>
      <family val="2"/>
      <scheme val="minor"/>
    </font>
    <font>
      <sz val="10"/>
      <name val="MS Sans Serif"/>
      <family val="2"/>
    </font>
    <font>
      <sz val="36"/>
      <color theme="1"/>
      <name val="Times New Roman"/>
      <family val="1"/>
    </font>
    <font>
      <u/>
      <sz val="11"/>
      <color theme="1"/>
      <name val="Times New Roman"/>
      <family val="1"/>
    </font>
    <font>
      <vertAlign val="superscript"/>
      <sz val="11"/>
      <color theme="1"/>
      <name val="Times New Roman"/>
      <family val="1"/>
    </font>
    <font>
      <sz val="12"/>
      <color theme="1"/>
      <name val="Times New Roman"/>
      <family val="1"/>
    </font>
    <font>
      <b/>
      <sz val="12"/>
      <color theme="1"/>
      <name val="Times New Roman"/>
      <family val="1"/>
    </font>
    <font>
      <sz val="6"/>
      <color theme="1"/>
      <name val="Times New Roman"/>
      <family val="1"/>
    </font>
    <font>
      <sz val="48"/>
      <color theme="0"/>
      <name val="Times New Roman"/>
      <family val="1"/>
    </font>
    <font>
      <b/>
      <sz val="11"/>
      <name val="Times New Roman"/>
      <family val="1"/>
    </font>
    <font>
      <b/>
      <sz val="18"/>
      <color indexed="8"/>
      <name val="Times New Roman"/>
      <family val="1"/>
    </font>
    <font>
      <b/>
      <i/>
      <sz val="14"/>
      <color indexed="8"/>
      <name val="Times New Roman"/>
      <family val="1"/>
    </font>
    <font>
      <i/>
      <sz val="11"/>
      <color theme="1"/>
      <name val="Times New Roman"/>
      <family val="1"/>
    </font>
    <font>
      <sz val="14"/>
      <color theme="1"/>
      <name val="Times New Roman"/>
      <family val="1"/>
    </font>
    <font>
      <b/>
      <sz val="11"/>
      <color indexed="8"/>
      <name val="Times New Roman"/>
      <family val="1"/>
    </font>
    <font>
      <sz val="11"/>
      <color indexed="8"/>
      <name val="Times New Roman"/>
      <family val="1"/>
    </font>
    <font>
      <i/>
      <sz val="11"/>
      <color indexed="8"/>
      <name val="Times New Roman"/>
      <family val="1"/>
    </font>
    <font>
      <sz val="11"/>
      <name val="Times New Roman"/>
      <family val="1"/>
    </font>
    <font>
      <vertAlign val="superscript"/>
      <sz val="11"/>
      <name val="Times New Roman"/>
      <family val="1"/>
    </font>
    <font>
      <b/>
      <vertAlign val="superscript"/>
      <sz val="11"/>
      <color indexed="8"/>
      <name val="Times New Roman"/>
      <family val="1"/>
    </font>
    <font>
      <i/>
      <sz val="10"/>
      <color indexed="8"/>
      <name val="Times New Roman"/>
      <family val="1"/>
    </font>
    <font>
      <u/>
      <sz val="11"/>
      <color theme="10"/>
      <name val="Times New Roman"/>
      <family val="1"/>
    </font>
    <font>
      <b/>
      <sz val="14"/>
      <color indexed="8"/>
      <name val="Times New Roman"/>
      <family val="1"/>
    </font>
    <font>
      <b/>
      <sz val="12"/>
      <color indexed="8"/>
      <name val="Times New Roman"/>
      <family val="1"/>
    </font>
    <font>
      <b/>
      <sz val="10"/>
      <color indexed="8"/>
      <name val="Times New Roman"/>
      <family val="1"/>
    </font>
    <font>
      <sz val="8"/>
      <color indexed="8"/>
      <name val="Times New Roman"/>
      <family val="1"/>
    </font>
    <font>
      <sz val="10"/>
      <color indexed="8"/>
      <name val="Times New Roman"/>
      <family val="1"/>
    </font>
    <font>
      <b/>
      <i/>
      <sz val="8"/>
      <color indexed="8"/>
      <name val="Times New Roman"/>
      <family val="1"/>
    </font>
    <font>
      <b/>
      <sz val="10"/>
      <name val="Times New Roman"/>
      <family val="1"/>
    </font>
    <font>
      <sz val="11"/>
      <color indexed="22"/>
      <name val="Times New Roman"/>
      <family val="1"/>
    </font>
    <font>
      <b/>
      <sz val="11"/>
      <color indexed="22"/>
      <name val="Times New Roman"/>
      <family val="1"/>
    </font>
    <font>
      <vertAlign val="superscript"/>
      <sz val="11"/>
      <color indexed="22"/>
      <name val="Times New Roman"/>
      <family val="1"/>
    </font>
    <font>
      <sz val="10"/>
      <color indexed="55"/>
      <name val="Times New Roman"/>
      <family val="1"/>
    </font>
    <font>
      <sz val="11"/>
      <color indexed="55"/>
      <name val="Times New Roman"/>
      <family val="1"/>
    </font>
    <font>
      <b/>
      <sz val="11"/>
      <color indexed="55"/>
      <name val="Times New Roman"/>
      <family val="1"/>
    </font>
    <font>
      <b/>
      <sz val="8"/>
      <color indexed="8"/>
      <name val="Times New Roman"/>
      <family val="1"/>
    </font>
    <font>
      <b/>
      <vertAlign val="superscript"/>
      <sz val="8"/>
      <color indexed="8"/>
      <name val="Times New Roman"/>
      <family val="1"/>
    </font>
    <font>
      <i/>
      <sz val="8"/>
      <color indexed="8"/>
      <name val="Times New Roman"/>
      <family val="1"/>
    </font>
    <font>
      <b/>
      <u/>
      <sz val="11"/>
      <color indexed="8"/>
      <name val="Times New Roman"/>
      <family val="1"/>
    </font>
    <font>
      <sz val="8"/>
      <name val="Times New Roman"/>
      <family val="1"/>
    </font>
    <font>
      <vertAlign val="superscript"/>
      <sz val="8"/>
      <name val="Times New Roman"/>
      <family val="1"/>
    </font>
    <font>
      <b/>
      <i/>
      <sz val="8"/>
      <name val="Times New Roman"/>
      <family val="1"/>
    </font>
    <font>
      <sz val="9"/>
      <name val="Times New Roman"/>
      <family val="1"/>
    </font>
    <font>
      <b/>
      <sz val="8"/>
      <name val="Times New Roman"/>
      <family val="1"/>
    </font>
    <font>
      <i/>
      <u/>
      <sz val="11"/>
      <color theme="1"/>
      <name val="Times New Roman"/>
      <family val="1"/>
    </font>
    <font>
      <vertAlign val="superscript"/>
      <sz val="12"/>
      <color theme="1"/>
      <name val="Times New Roman"/>
      <family val="1"/>
    </font>
    <font>
      <b/>
      <i/>
      <sz val="16"/>
      <color theme="1"/>
      <name val="Times New Roman"/>
      <family val="1"/>
    </font>
    <font>
      <b/>
      <sz val="10"/>
      <color theme="0"/>
      <name val="Times New Roman"/>
      <family val="1"/>
    </font>
    <font>
      <b/>
      <sz val="8"/>
      <color rgb="FFFF0000"/>
      <name val="Times New Roman"/>
      <family val="1"/>
    </font>
    <font>
      <b/>
      <sz val="18"/>
      <color rgb="FFFF0000"/>
      <name val="Times New Roman"/>
      <family val="1"/>
    </font>
    <font>
      <b/>
      <vertAlign val="superscript"/>
      <sz val="12"/>
      <color theme="1"/>
      <name val="Times New Roman"/>
      <family val="1"/>
    </font>
    <font>
      <b/>
      <vertAlign val="superscript"/>
      <sz val="11"/>
      <color theme="1"/>
      <name val="Times New Roman"/>
      <family val="1"/>
    </font>
    <font>
      <b/>
      <sz val="14"/>
      <color theme="1"/>
      <name val="Times New Roman"/>
      <family val="1"/>
    </font>
    <font>
      <sz val="10"/>
      <name val="Times New Roman"/>
      <family val="1"/>
    </font>
    <font>
      <b/>
      <sz val="18"/>
      <color theme="0"/>
      <name val="Times New Roman"/>
      <family val="1"/>
    </font>
    <font>
      <b/>
      <sz val="18"/>
      <color theme="1"/>
      <name val="Times New Roman"/>
      <family val="1"/>
    </font>
    <font>
      <b/>
      <sz val="16"/>
      <color rgb="FFFF0000"/>
      <name val="Times New Roman"/>
      <family val="1"/>
    </font>
    <font>
      <sz val="11"/>
      <color theme="0"/>
      <name val="Times New Roman"/>
      <family val="1"/>
    </font>
    <font>
      <vertAlign val="subscript"/>
      <sz val="11"/>
      <color theme="1"/>
      <name val="Times New Roman"/>
      <family val="1"/>
    </font>
    <font>
      <b/>
      <sz val="11"/>
      <color theme="6" tint="-0.499984740745262"/>
      <name val="Times New Roman"/>
      <family val="1"/>
    </font>
    <font>
      <b/>
      <sz val="11"/>
      <color theme="3" tint="-0.249977111117893"/>
      <name val="Times New Roman"/>
      <family val="1"/>
    </font>
    <font>
      <b/>
      <sz val="11"/>
      <color theme="5" tint="-0.499984740745262"/>
      <name val="Times New Roman"/>
      <family val="1"/>
    </font>
    <font>
      <b/>
      <sz val="14"/>
      <name val="Times New Roman"/>
      <family val="1"/>
    </font>
    <font>
      <b/>
      <sz val="14"/>
      <color theme="0"/>
      <name val="Times New Roman"/>
      <family val="1"/>
    </font>
    <font>
      <b/>
      <sz val="14"/>
      <color theme="3"/>
      <name val="Times New Roman"/>
      <family val="1"/>
    </font>
    <font>
      <b/>
      <sz val="11"/>
      <color theme="0"/>
      <name val="Times New Roman"/>
      <family val="1"/>
    </font>
    <font>
      <u/>
      <sz val="12"/>
      <color theme="1"/>
      <name val="Times New Roman"/>
      <family val="1"/>
    </font>
    <font>
      <b/>
      <sz val="18"/>
      <name val="Times New Roman"/>
      <family val="1"/>
    </font>
    <font>
      <b/>
      <sz val="11"/>
      <color theme="8" tint="-0.249977111117893"/>
      <name val="Times New Roman"/>
      <family val="1"/>
    </font>
    <font>
      <u/>
      <sz val="12"/>
      <color theme="4"/>
      <name val="Times New Roman"/>
      <family val="1"/>
    </font>
    <font>
      <sz val="10"/>
      <color theme="4" tint="0.59999389629810485"/>
      <name val="Times New Roman"/>
      <family val="1"/>
    </font>
    <font>
      <vertAlign val="subscript"/>
      <sz val="12"/>
      <color theme="1"/>
      <name val="Times New Roman"/>
      <family val="1"/>
    </font>
    <font>
      <sz val="11"/>
      <color theme="4" tint="0.79998168889431442"/>
      <name val="Times New Roman"/>
      <family val="1"/>
    </font>
    <font>
      <vertAlign val="subscript"/>
      <sz val="11"/>
      <color theme="0"/>
      <name val="Times New Roman"/>
      <family val="1"/>
    </font>
    <font>
      <sz val="11"/>
      <color theme="1"/>
      <name val="Calibri"/>
      <family val="2"/>
    </font>
    <font>
      <sz val="9"/>
      <color indexed="81"/>
      <name val="Tahoma"/>
      <charset val="1"/>
    </font>
    <font>
      <b/>
      <sz val="9"/>
      <color indexed="81"/>
      <name val="Tahoma"/>
      <charset val="1"/>
    </font>
    <font>
      <i/>
      <sz val="9"/>
      <color indexed="81"/>
      <name val="Tahoma"/>
      <family val="2"/>
    </font>
    <font>
      <i/>
      <sz val="10"/>
      <color theme="1"/>
      <name val="Times New Roman"/>
      <family val="1"/>
    </font>
  </fonts>
  <fills count="51">
    <fill>
      <patternFill patternType="none"/>
    </fill>
    <fill>
      <patternFill patternType="gray125"/>
    </fill>
    <fill>
      <patternFill patternType="solid">
        <fgColor theme="0"/>
        <bgColor indexed="64"/>
      </patternFill>
    </fill>
    <fill>
      <patternFill patternType="solid">
        <fgColor theme="5" tint="0.79998168889431442"/>
        <bgColor indexed="64"/>
      </patternFill>
    </fill>
    <fill>
      <patternFill patternType="solid">
        <fgColor theme="2" tint="-0.249977111117893"/>
        <bgColor indexed="64"/>
      </patternFill>
    </fill>
    <fill>
      <patternFill patternType="solid">
        <fgColor theme="3" tint="0.79998168889431442"/>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theme="3" tint="0.59999389629810485"/>
        <bgColor indexed="64"/>
      </patternFill>
    </fill>
    <fill>
      <patternFill patternType="solid">
        <fgColor theme="4" tint="0.59999389629810485"/>
        <bgColor indexed="64"/>
      </patternFill>
    </fill>
    <fill>
      <patternFill patternType="solid">
        <fgColor theme="7" tint="0.79998168889431442"/>
        <bgColor indexed="64"/>
      </patternFill>
    </fill>
    <fill>
      <patternFill patternType="solid">
        <fgColor theme="2" tint="-9.9978637043366805E-2"/>
        <bgColor indexed="64"/>
      </patternFill>
    </fill>
    <fill>
      <patternFill patternType="solid">
        <fgColor theme="9" tint="0.39997558519241921"/>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theme="0" tint="-0.14999847407452621"/>
        <bgColor indexed="64"/>
      </patternFill>
    </fill>
    <fill>
      <patternFill patternType="solid">
        <fgColor theme="6" tint="0.39997558519241921"/>
        <bgColor indexed="64"/>
      </patternFill>
    </fill>
    <fill>
      <patternFill patternType="solid">
        <fgColor rgb="FFFFFF99"/>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00B050"/>
        <bgColor indexed="64"/>
      </patternFill>
    </fill>
    <fill>
      <patternFill patternType="solid">
        <fgColor indexed="42"/>
        <bgColor indexed="64"/>
      </patternFill>
    </fill>
    <fill>
      <patternFill patternType="solid">
        <fgColor indexed="43"/>
        <bgColor indexed="64"/>
      </patternFill>
    </fill>
    <fill>
      <patternFill patternType="solid">
        <fgColor indexed="22"/>
        <bgColor indexed="64"/>
      </patternFill>
    </fill>
    <fill>
      <patternFill patternType="solid">
        <fgColor indexed="41"/>
        <bgColor indexed="64"/>
      </patternFill>
    </fill>
    <fill>
      <patternFill patternType="solid">
        <fgColor indexed="52"/>
        <bgColor indexed="64"/>
      </patternFill>
    </fill>
    <fill>
      <patternFill patternType="solid">
        <fgColor indexed="51"/>
        <bgColor indexed="64"/>
      </patternFill>
    </fill>
    <fill>
      <patternFill patternType="solid">
        <fgColor indexed="13"/>
        <bgColor indexed="64"/>
      </patternFill>
    </fill>
    <fill>
      <patternFill patternType="solid">
        <fgColor rgb="FF3CE470"/>
        <bgColor indexed="64"/>
      </patternFill>
    </fill>
    <fill>
      <patternFill patternType="solid">
        <fgColor indexed="47"/>
        <bgColor indexed="64"/>
      </patternFill>
    </fill>
    <fill>
      <patternFill patternType="solid">
        <fgColor theme="0" tint="-0.249977111117893"/>
        <bgColor indexed="64"/>
      </patternFill>
    </fill>
    <fill>
      <patternFill patternType="solid">
        <fgColor indexed="44"/>
        <bgColor indexed="64"/>
      </patternFill>
    </fill>
    <fill>
      <patternFill patternType="solid">
        <fgColor rgb="FF92D050"/>
        <bgColor indexed="64"/>
      </patternFill>
    </fill>
    <fill>
      <patternFill patternType="solid">
        <fgColor rgb="FFFFFF00"/>
        <bgColor indexed="64"/>
      </patternFill>
    </fill>
    <fill>
      <patternFill patternType="solid">
        <fgColor rgb="FFFFC000"/>
        <bgColor indexed="64"/>
      </patternFill>
    </fill>
    <fill>
      <patternFill patternType="solid">
        <fgColor theme="0" tint="-0.34998626667073579"/>
        <bgColor indexed="64"/>
      </patternFill>
    </fill>
    <fill>
      <patternFill patternType="solid">
        <fgColor theme="1" tint="0.249977111117893"/>
        <bgColor indexed="64"/>
      </patternFill>
    </fill>
    <fill>
      <patternFill patternType="solid">
        <fgColor theme="2" tint="-0.499984740745262"/>
        <bgColor indexed="64"/>
      </patternFill>
    </fill>
    <fill>
      <gradientFill degree="90">
        <stop position="0">
          <color theme="0"/>
        </stop>
        <stop position="1">
          <color theme="5" tint="0.40000610370189521"/>
        </stop>
      </gradientFill>
    </fill>
    <fill>
      <patternFill patternType="solid">
        <fgColor theme="2" tint="-0.749992370372631"/>
        <bgColor indexed="64"/>
      </patternFill>
    </fill>
    <fill>
      <gradientFill degree="180">
        <stop position="0">
          <color theme="0"/>
        </stop>
        <stop position="1">
          <color theme="4" tint="0.40000610370189521"/>
        </stop>
      </gradientFill>
    </fill>
    <fill>
      <gradientFill degree="180">
        <stop position="0">
          <color theme="0"/>
        </stop>
        <stop position="1">
          <color theme="9" tint="0.40000610370189521"/>
        </stop>
      </gradientFill>
    </fill>
    <fill>
      <gradientFill degree="90">
        <stop position="0">
          <color theme="0"/>
        </stop>
        <stop position="1">
          <color theme="6" tint="0.40000610370189521"/>
        </stop>
      </gradientFill>
    </fill>
    <fill>
      <patternFill patternType="solid">
        <fgColor rgb="FFFF0000"/>
        <bgColor indexed="64"/>
      </patternFill>
    </fill>
    <fill>
      <patternFill patternType="solid">
        <fgColor theme="5" tint="0.39997558519241921"/>
        <bgColor indexed="64"/>
      </patternFill>
    </fill>
    <fill>
      <patternFill patternType="solid">
        <fgColor theme="6" tint="0.79998168889431442"/>
        <bgColor indexed="64"/>
      </patternFill>
    </fill>
    <fill>
      <patternFill patternType="solid">
        <fgColor theme="7" tint="0.39997558519241921"/>
        <bgColor indexed="64"/>
      </patternFill>
    </fill>
    <fill>
      <patternFill patternType="solid">
        <fgColor theme="4" tint="-0.249977111117893"/>
        <bgColor indexed="64"/>
      </patternFill>
    </fill>
    <fill>
      <patternFill patternType="solid">
        <fgColor theme="3" tint="-0.499984740745262"/>
        <bgColor indexed="64"/>
      </patternFill>
    </fill>
    <fill>
      <patternFill patternType="solid">
        <fgColor theme="8" tint="0.79998168889431442"/>
        <bgColor indexed="64"/>
      </patternFill>
    </fill>
  </fills>
  <borders count="275">
    <border>
      <left/>
      <right/>
      <top/>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style="thick">
        <color indexed="64"/>
      </right>
      <top style="thin">
        <color indexed="64"/>
      </top>
      <bottom style="thin">
        <color indexed="64"/>
      </bottom>
      <diagonal/>
    </border>
    <border>
      <left style="thick">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diagonal/>
    </border>
    <border>
      <left/>
      <right style="thin">
        <color indexed="64"/>
      </right>
      <top/>
      <bottom style="thin">
        <color indexed="64"/>
      </bottom>
      <diagonal/>
    </border>
    <border>
      <left/>
      <right style="medium">
        <color indexed="64"/>
      </right>
      <top/>
      <bottom style="hair">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style="medium">
        <color indexed="64"/>
      </right>
      <top style="hair">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style="medium">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hair">
        <color indexed="64"/>
      </left>
      <right style="medium">
        <color indexed="64"/>
      </right>
      <top style="thin">
        <color indexed="64"/>
      </top>
      <bottom/>
      <diagonal/>
    </border>
    <border>
      <left style="hair">
        <color indexed="64"/>
      </left>
      <right style="medium">
        <color indexed="64"/>
      </right>
      <top/>
      <bottom style="thin">
        <color indexed="64"/>
      </bottom>
      <diagonal/>
    </border>
    <border>
      <left style="medium">
        <color indexed="64"/>
      </left>
      <right style="hair">
        <color indexed="64"/>
      </right>
      <top style="hair">
        <color indexed="64"/>
      </top>
      <bottom/>
      <diagonal/>
    </border>
    <border>
      <left style="hair">
        <color indexed="64"/>
      </left>
      <right style="medium">
        <color indexed="64"/>
      </right>
      <top style="hair">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diagonal/>
    </border>
    <border>
      <left/>
      <right style="thin">
        <color indexed="64"/>
      </right>
      <top/>
      <bottom style="medium">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style="thin">
        <color indexed="64"/>
      </left>
      <right/>
      <top/>
      <bottom style="medium">
        <color indexed="64"/>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ck">
        <color indexed="64"/>
      </left>
      <right/>
      <top/>
      <bottom/>
      <diagonal/>
    </border>
    <border>
      <left style="thick">
        <color indexed="64"/>
      </left>
      <right style="thick">
        <color indexed="64"/>
      </right>
      <top/>
      <bottom/>
      <diagonal/>
    </border>
    <border>
      <left/>
      <right style="thick">
        <color indexed="64"/>
      </right>
      <top/>
      <bottom/>
      <diagonal/>
    </border>
    <border>
      <left style="thick">
        <color indexed="64"/>
      </left>
      <right style="thick">
        <color indexed="64"/>
      </right>
      <top/>
      <bottom style="thick">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ck">
        <color indexed="64"/>
      </left>
      <right/>
      <top style="medium">
        <color indexed="64"/>
      </top>
      <bottom/>
      <diagonal/>
    </border>
    <border>
      <left style="thin">
        <color indexed="64"/>
      </left>
      <right style="thin">
        <color indexed="64"/>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top/>
      <bottom style="double">
        <color indexed="64"/>
      </bottom>
      <diagonal/>
    </border>
    <border>
      <left style="thick">
        <color indexed="64"/>
      </left>
      <right/>
      <top style="thick">
        <color indexed="64"/>
      </top>
      <bottom style="medium">
        <color indexed="64"/>
      </bottom>
      <diagonal/>
    </border>
    <border>
      <left style="thin">
        <color indexed="64"/>
      </left>
      <right/>
      <top style="thick">
        <color indexed="64"/>
      </top>
      <bottom style="medium">
        <color indexed="64"/>
      </bottom>
      <diagonal/>
    </border>
    <border>
      <left/>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top style="medium">
        <color indexed="64"/>
      </top>
      <bottom style="hair">
        <color indexed="64"/>
      </bottom>
      <diagonal/>
    </border>
    <border>
      <left style="thin">
        <color indexed="64"/>
      </left>
      <right style="thick">
        <color indexed="64"/>
      </right>
      <top style="medium">
        <color indexed="64"/>
      </top>
      <bottom style="thin">
        <color indexed="64"/>
      </bottom>
      <diagonal/>
    </border>
    <border>
      <left style="thick">
        <color indexed="64"/>
      </left>
      <right style="thin">
        <color indexed="64"/>
      </right>
      <top style="medium">
        <color indexed="64"/>
      </top>
      <bottom style="thin">
        <color indexed="64"/>
      </bottom>
      <diagonal/>
    </border>
    <border>
      <left/>
      <right style="thick">
        <color indexed="64"/>
      </right>
      <top style="medium">
        <color indexed="64"/>
      </top>
      <bottom style="hair">
        <color indexed="64"/>
      </bottom>
      <diagonal/>
    </border>
    <border>
      <left style="thick">
        <color indexed="64"/>
      </left>
      <right/>
      <top style="hair">
        <color indexed="64"/>
      </top>
      <bottom style="hair">
        <color indexed="64"/>
      </bottom>
      <diagonal/>
    </border>
    <border>
      <left style="thin">
        <color indexed="64"/>
      </left>
      <right style="thick">
        <color indexed="64"/>
      </right>
      <top/>
      <bottom/>
      <diagonal/>
    </border>
    <border>
      <left style="thick">
        <color indexed="64"/>
      </left>
      <right style="thin">
        <color indexed="64"/>
      </right>
      <top/>
      <bottom/>
      <diagonal/>
    </border>
    <border>
      <left/>
      <right style="thick">
        <color indexed="64"/>
      </right>
      <top style="hair">
        <color indexed="64"/>
      </top>
      <bottom style="hair">
        <color indexed="64"/>
      </bottom>
      <diagonal/>
    </border>
    <border>
      <left style="thick">
        <color indexed="64"/>
      </left>
      <right/>
      <top style="thin">
        <color indexed="64"/>
      </top>
      <bottom style="medium">
        <color indexed="64"/>
      </bottom>
      <diagonal/>
    </border>
    <border>
      <left/>
      <right style="thick">
        <color indexed="64"/>
      </right>
      <top style="thin">
        <color indexed="64"/>
      </top>
      <bottom style="medium">
        <color indexed="64"/>
      </bottom>
      <diagonal/>
    </border>
    <border>
      <left style="thick">
        <color indexed="64"/>
      </left>
      <right/>
      <top style="medium">
        <color indexed="64"/>
      </top>
      <bottom style="thin">
        <color indexed="64"/>
      </bottom>
      <diagonal/>
    </border>
    <border>
      <left/>
      <right style="thick">
        <color indexed="64"/>
      </right>
      <top/>
      <bottom style="thin">
        <color indexed="64"/>
      </bottom>
      <diagonal/>
    </border>
    <border>
      <left style="thick">
        <color indexed="64"/>
      </left>
      <right style="hair">
        <color indexed="64"/>
      </right>
      <top style="thin">
        <color indexed="64"/>
      </top>
      <bottom style="hair">
        <color indexed="64"/>
      </bottom>
      <diagonal/>
    </border>
    <border>
      <left style="hair">
        <color indexed="64"/>
      </left>
      <right style="thick">
        <color indexed="64"/>
      </right>
      <top style="thin">
        <color indexed="64"/>
      </top>
      <bottom style="hair">
        <color indexed="64"/>
      </bottom>
      <diagonal/>
    </border>
    <border>
      <left style="thick">
        <color indexed="64"/>
      </left>
      <right style="thin">
        <color indexed="64"/>
      </right>
      <top style="hair">
        <color indexed="64"/>
      </top>
      <bottom/>
      <diagonal/>
    </border>
    <border>
      <left style="thick">
        <color indexed="64"/>
      </left>
      <right style="hair">
        <color indexed="64"/>
      </right>
      <top style="hair">
        <color indexed="64"/>
      </top>
      <bottom style="thin">
        <color indexed="64"/>
      </bottom>
      <diagonal/>
    </border>
    <border>
      <left style="hair">
        <color indexed="64"/>
      </left>
      <right style="thick">
        <color indexed="64"/>
      </right>
      <top style="hair">
        <color indexed="64"/>
      </top>
      <bottom style="thin">
        <color indexed="64"/>
      </bottom>
      <diagonal/>
    </border>
    <border>
      <left style="thick">
        <color indexed="64"/>
      </left>
      <right style="thin">
        <color indexed="64"/>
      </right>
      <top style="hair">
        <color indexed="64"/>
      </top>
      <bottom style="hair">
        <color indexed="64"/>
      </bottom>
      <diagonal/>
    </border>
    <border>
      <left style="hair">
        <color indexed="64"/>
      </left>
      <right style="thick">
        <color indexed="64"/>
      </right>
      <top style="thin">
        <color indexed="64"/>
      </top>
      <bottom/>
      <diagonal/>
    </border>
    <border>
      <left style="hair">
        <color indexed="64"/>
      </left>
      <right style="thick">
        <color indexed="64"/>
      </right>
      <top/>
      <bottom style="thin">
        <color indexed="64"/>
      </bottom>
      <diagonal/>
    </border>
    <border>
      <left style="thick">
        <color indexed="64"/>
      </left>
      <right style="thin">
        <color indexed="64"/>
      </right>
      <top/>
      <bottom style="hair">
        <color indexed="64"/>
      </bottom>
      <diagonal/>
    </border>
    <border>
      <left style="thick">
        <color indexed="64"/>
      </left>
      <right style="hair">
        <color indexed="64"/>
      </right>
      <top style="hair">
        <color indexed="64"/>
      </top>
      <bottom style="medium">
        <color indexed="64"/>
      </bottom>
      <diagonal/>
    </border>
    <border>
      <left style="hair">
        <color indexed="64"/>
      </left>
      <right style="thick">
        <color indexed="64"/>
      </right>
      <top style="hair">
        <color indexed="64"/>
      </top>
      <bottom style="medium">
        <color indexed="64"/>
      </bottom>
      <diagonal/>
    </border>
    <border>
      <left style="thick">
        <color indexed="64"/>
      </left>
      <right/>
      <top style="hair">
        <color indexed="64"/>
      </top>
      <bottom style="thin">
        <color indexed="64"/>
      </bottom>
      <diagonal/>
    </border>
    <border>
      <left/>
      <right style="thick">
        <color indexed="64"/>
      </right>
      <top style="hair">
        <color indexed="64"/>
      </top>
      <bottom style="thin">
        <color indexed="64"/>
      </bottom>
      <diagonal/>
    </border>
    <border>
      <left/>
      <right/>
      <top style="hair">
        <color indexed="64"/>
      </top>
      <bottom style="hair">
        <color indexed="64"/>
      </bottom>
      <diagonal/>
    </border>
    <border>
      <left/>
      <right style="thick">
        <color indexed="64"/>
      </right>
      <top style="medium">
        <color indexed="64"/>
      </top>
      <bottom/>
      <diagonal/>
    </border>
    <border>
      <left style="thick">
        <color indexed="64"/>
      </left>
      <right/>
      <top/>
      <bottom style="medium">
        <color indexed="64"/>
      </bottom>
      <diagonal/>
    </border>
    <border>
      <left/>
      <right style="thick">
        <color indexed="64"/>
      </right>
      <top/>
      <bottom style="medium">
        <color indexed="64"/>
      </bottom>
      <diagonal/>
    </border>
    <border>
      <left style="thick">
        <color indexed="64"/>
      </left>
      <right/>
      <top/>
      <bottom style="thin">
        <color indexed="64"/>
      </bottom>
      <diagonal/>
    </border>
    <border>
      <left/>
      <right/>
      <top style="medium">
        <color indexed="64"/>
      </top>
      <bottom style="hair">
        <color indexed="64"/>
      </bottom>
      <diagonal/>
    </border>
    <border>
      <left style="thick">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ck">
        <color indexed="64"/>
      </right>
      <top style="hair">
        <color indexed="64"/>
      </top>
      <bottom/>
      <diagonal/>
    </border>
    <border>
      <left/>
      <right/>
      <top style="hair">
        <color indexed="64"/>
      </top>
      <bottom style="thin">
        <color indexed="64"/>
      </bottom>
      <diagonal/>
    </border>
    <border>
      <left style="thick">
        <color indexed="64"/>
      </left>
      <right style="hair">
        <color indexed="64"/>
      </right>
      <top style="hair">
        <color indexed="64"/>
      </top>
      <bottom style="thick">
        <color indexed="64"/>
      </bottom>
      <diagonal/>
    </border>
    <border>
      <left style="hair">
        <color indexed="64"/>
      </left>
      <right style="hair">
        <color indexed="64"/>
      </right>
      <top style="hair">
        <color indexed="64"/>
      </top>
      <bottom style="thick">
        <color indexed="64"/>
      </bottom>
      <diagonal/>
    </border>
    <border>
      <left style="hair">
        <color indexed="64"/>
      </left>
      <right style="thick">
        <color indexed="64"/>
      </right>
      <top style="hair">
        <color indexed="64"/>
      </top>
      <bottom style="thick">
        <color indexed="64"/>
      </bottom>
      <diagonal/>
    </border>
    <border>
      <left style="thick">
        <color indexed="64"/>
      </left>
      <right/>
      <top style="thin">
        <color indexed="64"/>
      </top>
      <bottom style="double">
        <color indexed="64"/>
      </bottom>
      <diagonal/>
    </border>
    <border>
      <left/>
      <right/>
      <top style="thin">
        <color indexed="64"/>
      </top>
      <bottom style="double">
        <color indexed="64"/>
      </bottom>
      <diagonal/>
    </border>
    <border>
      <left/>
      <right style="thick">
        <color indexed="64"/>
      </right>
      <top style="thin">
        <color indexed="64"/>
      </top>
      <bottom style="double">
        <color indexed="64"/>
      </bottom>
      <diagonal/>
    </border>
    <border>
      <left style="thick">
        <color indexed="64"/>
      </left>
      <right/>
      <top/>
      <bottom style="double">
        <color indexed="64"/>
      </bottom>
      <diagonal/>
    </border>
    <border>
      <left style="thick">
        <color indexed="64"/>
      </left>
      <right style="thin">
        <color indexed="64"/>
      </right>
      <top/>
      <bottom style="thin">
        <color indexed="64"/>
      </bottom>
      <diagonal/>
    </border>
    <border>
      <left style="thin">
        <color indexed="64"/>
      </left>
      <right style="thick">
        <color indexed="64"/>
      </right>
      <top/>
      <bottom style="thin">
        <color indexed="64"/>
      </bottom>
      <diagonal/>
    </border>
    <border>
      <left style="thick">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ck">
        <color indexed="64"/>
      </right>
      <top style="double">
        <color indexed="64"/>
      </top>
      <bottom style="thin">
        <color indexed="64"/>
      </bottom>
      <diagonal/>
    </border>
    <border>
      <left style="thin">
        <color indexed="64"/>
      </left>
      <right style="thin">
        <color indexed="64"/>
      </right>
      <top/>
      <bottom style="medium">
        <color indexed="64"/>
      </bottom>
      <diagonal/>
    </border>
    <border>
      <left style="hair">
        <color indexed="64"/>
      </left>
      <right style="hair">
        <color indexed="64"/>
      </right>
      <top/>
      <bottom style="medium">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theme="4" tint="-0.24994659260841701"/>
      </left>
      <right style="thin">
        <color theme="4" tint="-0.24994659260841701"/>
      </right>
      <top style="thin">
        <color theme="4" tint="-0.24994659260841701"/>
      </top>
      <bottom style="thin">
        <color theme="4" tint="-0.24994659260841701"/>
      </bottom>
      <diagonal/>
    </border>
    <border>
      <left style="thin">
        <color theme="4" tint="-0.24994659260841701"/>
      </left>
      <right/>
      <top style="thin">
        <color theme="4" tint="-0.24994659260841701"/>
      </top>
      <bottom style="thin">
        <color theme="4" tint="-0.24994659260841701"/>
      </bottom>
      <diagonal/>
    </border>
    <border>
      <left style="thin">
        <color theme="5" tint="-0.24994659260841701"/>
      </left>
      <right style="medium">
        <color theme="5" tint="-0.24994659260841701"/>
      </right>
      <top style="thin">
        <color theme="5" tint="-0.24994659260841701"/>
      </top>
      <bottom style="medium">
        <color theme="5" tint="-0.24994659260841701"/>
      </bottom>
      <diagonal/>
    </border>
    <border>
      <left style="thick">
        <color theme="9" tint="-0.24994659260841701"/>
      </left>
      <right/>
      <top/>
      <bottom/>
      <diagonal/>
    </border>
    <border>
      <left/>
      <right/>
      <top/>
      <bottom style="thick">
        <color theme="6" tint="-0.499984740745262"/>
      </bottom>
      <diagonal/>
    </border>
    <border>
      <left style="thin">
        <color theme="6" tint="-0.499984740745262"/>
      </left>
      <right style="thin">
        <color theme="6" tint="-0.499984740745262"/>
      </right>
      <top/>
      <bottom style="thin">
        <color theme="6" tint="-0.499984740745262"/>
      </bottom>
      <diagonal/>
    </border>
    <border>
      <left style="thin">
        <color theme="6" tint="-0.499984740745262"/>
      </left>
      <right/>
      <top style="thin">
        <color theme="6" tint="-0.499984740745262"/>
      </top>
      <bottom style="thin">
        <color theme="6" tint="-0.499984740745262"/>
      </bottom>
      <diagonal/>
    </border>
    <border>
      <left/>
      <right style="thin">
        <color theme="6" tint="-0.499984740745262"/>
      </right>
      <top style="thin">
        <color theme="6" tint="-0.499984740745262"/>
      </top>
      <bottom style="thin">
        <color theme="6" tint="-0.499984740745262"/>
      </bottom>
      <diagonal/>
    </border>
    <border>
      <left style="thin">
        <color theme="5" tint="-0.24994659260841701"/>
      </left>
      <right style="thin">
        <color theme="5" tint="-0.24994659260841701"/>
      </right>
      <top style="medium">
        <color theme="5" tint="-0.24994659260841701"/>
      </top>
      <bottom style="thin">
        <color theme="5" tint="-0.24994659260841701"/>
      </bottom>
      <diagonal/>
    </border>
    <border>
      <left style="thin">
        <color theme="5" tint="-0.24994659260841701"/>
      </left>
      <right style="medium">
        <color theme="5" tint="-0.24994659260841701"/>
      </right>
      <top style="medium">
        <color theme="5" tint="-0.24994659260841701"/>
      </top>
      <bottom style="thin">
        <color theme="5" tint="-0.24994659260841701"/>
      </bottom>
      <diagonal/>
    </border>
    <border>
      <left style="thin">
        <color theme="5" tint="-0.24994659260841701"/>
      </left>
      <right style="thin">
        <color theme="5" tint="-0.24994659260841701"/>
      </right>
      <top style="thin">
        <color theme="5" tint="-0.24994659260841701"/>
      </top>
      <bottom style="medium">
        <color theme="5" tint="-0.24994659260841701"/>
      </bottom>
      <diagonal/>
    </border>
    <border>
      <left style="medium">
        <color theme="5" tint="-0.24994659260841701"/>
      </left>
      <right style="medium">
        <color theme="5" tint="-0.24994659260841701"/>
      </right>
      <top/>
      <bottom/>
      <diagonal/>
    </border>
    <border>
      <left style="medium">
        <color theme="5" tint="-0.24994659260841701"/>
      </left>
      <right style="medium">
        <color theme="5" tint="-0.24994659260841701"/>
      </right>
      <top/>
      <bottom style="medium">
        <color theme="5" tint="-0.24994659260841701"/>
      </bottom>
      <diagonal/>
    </border>
    <border>
      <left/>
      <right/>
      <top/>
      <bottom style="thick">
        <color theme="5" tint="-0.499984740745262"/>
      </bottom>
      <diagonal/>
    </border>
    <border>
      <left/>
      <right/>
      <top style="thin">
        <color theme="6" tint="-0.499984740745262"/>
      </top>
      <bottom/>
      <diagonal/>
    </border>
    <border>
      <left/>
      <right/>
      <top style="thin">
        <color theme="6" tint="-0.499984740745262"/>
      </top>
      <bottom style="thin">
        <color indexed="64"/>
      </bottom>
      <diagonal/>
    </border>
    <border>
      <left/>
      <right style="thin">
        <color theme="4" tint="-0.24994659260841701"/>
      </right>
      <top style="thin">
        <color theme="4" tint="-0.24994659260841701"/>
      </top>
      <bottom style="thin">
        <color theme="4" tint="-0.24994659260841701"/>
      </bottom>
      <diagonal/>
    </border>
    <border>
      <left style="medium">
        <color theme="5" tint="-0.24994659260841701"/>
      </left>
      <right style="medium">
        <color theme="5" tint="-0.24994659260841701"/>
      </right>
      <top style="thick">
        <color theme="5" tint="-0.499984740745262"/>
      </top>
      <bottom/>
      <diagonal/>
    </border>
    <border>
      <left style="medium">
        <color theme="5" tint="-0.24994659260841701"/>
      </left>
      <right style="thin">
        <color theme="5" tint="-0.24994659260841701"/>
      </right>
      <top style="thin">
        <color theme="5" tint="-0.24994659260841701"/>
      </top>
      <bottom/>
      <diagonal/>
    </border>
    <border>
      <left style="medium">
        <color theme="5" tint="-0.24994659260841701"/>
      </left>
      <right style="thin">
        <color theme="5" tint="-0.24994659260841701"/>
      </right>
      <top/>
      <bottom style="medium">
        <color theme="5" tint="-0.24994659260841701"/>
      </bottom>
      <diagonal/>
    </border>
    <border>
      <left style="thin">
        <color theme="5" tint="-0.24994659260841701"/>
      </left>
      <right style="medium">
        <color theme="5" tint="-0.24994659260841701"/>
      </right>
      <top style="thin">
        <color theme="5" tint="-0.24994659260841701"/>
      </top>
      <bottom/>
      <diagonal/>
    </border>
    <border>
      <left style="thin">
        <color theme="5" tint="-0.24994659260841701"/>
      </left>
      <right style="medium">
        <color theme="5" tint="-0.24994659260841701"/>
      </right>
      <top/>
      <bottom style="medium">
        <color theme="5" tint="-0.24994659260841701"/>
      </bottom>
      <diagonal/>
    </border>
    <border>
      <left style="medium">
        <color theme="5" tint="-0.24994659260841701"/>
      </left>
      <right/>
      <top style="thick">
        <color theme="5" tint="-0.499984740745262"/>
      </top>
      <bottom style="thin">
        <color theme="5" tint="-0.24994659260841701"/>
      </bottom>
      <diagonal/>
    </border>
    <border>
      <left/>
      <right style="medium">
        <color theme="5" tint="-0.24994659260841701"/>
      </right>
      <top style="thick">
        <color theme="5" tint="-0.499984740745262"/>
      </top>
      <bottom style="thin">
        <color theme="5" tint="-0.24994659260841701"/>
      </bottom>
      <diagonal/>
    </border>
    <border>
      <left/>
      <right style="thin">
        <color indexed="64"/>
      </right>
      <top style="thin">
        <color indexed="64"/>
      </top>
      <bottom style="medium">
        <color indexed="64"/>
      </bottom>
      <diagonal/>
    </border>
    <border>
      <left/>
      <right/>
      <top style="thin">
        <color theme="4" tint="-0.24994659260841701"/>
      </top>
      <bottom style="thin">
        <color theme="4" tint="-0.24994659260841701"/>
      </bottom>
      <diagonal/>
    </border>
    <border>
      <left style="medium">
        <color theme="3"/>
      </left>
      <right/>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ck">
        <color indexed="64"/>
      </left>
      <right/>
      <top style="medium">
        <color indexed="64"/>
      </top>
      <bottom style="medium">
        <color indexed="64"/>
      </bottom>
      <diagonal/>
    </border>
    <border>
      <left/>
      <right style="thick">
        <color indexed="64"/>
      </right>
      <top style="medium">
        <color indexed="64"/>
      </top>
      <bottom style="medium">
        <color indexed="64"/>
      </bottom>
      <diagonal/>
    </border>
    <border>
      <left style="thin">
        <color theme="4" tint="-0.24994659260841701"/>
      </left>
      <right/>
      <top style="thin">
        <color theme="4" tint="-0.24994659260841701"/>
      </top>
      <bottom/>
      <diagonal/>
    </border>
    <border>
      <left/>
      <right style="thin">
        <color theme="4" tint="-0.24994659260841701"/>
      </right>
      <top style="thin">
        <color theme="4" tint="-0.24994659260841701"/>
      </top>
      <bottom/>
      <diagonal/>
    </border>
    <border>
      <left style="thin">
        <color theme="4" tint="-0.24994659260841701"/>
      </left>
      <right/>
      <top/>
      <bottom style="thin">
        <color theme="4" tint="-0.24994659260841701"/>
      </bottom>
      <diagonal/>
    </border>
    <border>
      <left/>
      <right style="thin">
        <color theme="4" tint="-0.24994659260841701"/>
      </right>
      <top/>
      <bottom style="thin">
        <color theme="4" tint="-0.24994659260841701"/>
      </bottom>
      <diagonal/>
    </border>
    <border>
      <left style="thin">
        <color indexed="64"/>
      </left>
      <right/>
      <top style="thin">
        <color indexed="64"/>
      </top>
      <bottom style="dashed">
        <color indexed="64"/>
      </bottom>
      <diagonal/>
    </border>
    <border>
      <left style="thin">
        <color indexed="64"/>
      </left>
      <right/>
      <top style="thin">
        <color indexed="64"/>
      </top>
      <bottom style="dotted">
        <color indexed="64"/>
      </bottom>
      <diagonal/>
    </border>
    <border>
      <left/>
      <right/>
      <top/>
      <bottom style="dotted">
        <color indexed="64"/>
      </bottom>
      <diagonal/>
    </border>
    <border>
      <left style="medium">
        <color theme="3"/>
      </left>
      <right style="medium">
        <color theme="3"/>
      </right>
      <top style="medium">
        <color theme="3"/>
      </top>
      <bottom style="medium">
        <color theme="3"/>
      </bottom>
      <diagonal/>
    </border>
    <border>
      <left/>
      <right/>
      <top style="medium">
        <color theme="3"/>
      </top>
      <bottom style="medium">
        <color theme="3"/>
      </bottom>
      <diagonal/>
    </border>
    <border>
      <left/>
      <right style="medium">
        <color theme="6" tint="-0.499984740745262"/>
      </right>
      <top style="medium">
        <color theme="6" tint="-0.499984740745262"/>
      </top>
      <bottom/>
      <diagonal/>
    </border>
    <border>
      <left/>
      <right style="medium">
        <color theme="6" tint="-0.499984740745262"/>
      </right>
      <top/>
      <bottom style="medium">
        <color theme="6" tint="-0.499984740745262"/>
      </bottom>
      <diagonal/>
    </border>
    <border>
      <left style="medium">
        <color theme="6" tint="-0.499984740745262"/>
      </left>
      <right style="medium">
        <color theme="6" tint="-0.499984740745262"/>
      </right>
      <top style="medium">
        <color theme="6" tint="-0.499984740745262"/>
      </top>
      <bottom/>
      <diagonal/>
    </border>
    <border>
      <left style="medium">
        <color theme="6" tint="-0.499984740745262"/>
      </left>
      <right style="medium">
        <color theme="6" tint="-0.499984740745262"/>
      </right>
      <top/>
      <bottom style="medium">
        <color theme="6" tint="-0.499984740745262"/>
      </bottom>
      <diagonal/>
    </border>
    <border>
      <left/>
      <right/>
      <top/>
      <bottom style="medium">
        <color theme="3"/>
      </bottom>
      <diagonal/>
    </border>
    <border>
      <left style="thin">
        <color theme="6" tint="-0.499984740745262"/>
      </left>
      <right/>
      <top style="thin">
        <color theme="6" tint="-0.499984740745262"/>
      </top>
      <bottom/>
      <diagonal/>
    </border>
    <border>
      <left style="thin">
        <color theme="6" tint="-0.499984740745262"/>
      </left>
      <right/>
      <top/>
      <bottom style="thin">
        <color theme="6" tint="-0.499984740745262"/>
      </bottom>
      <diagonal/>
    </border>
    <border>
      <left/>
      <right/>
      <top/>
      <bottom style="thin">
        <color theme="6" tint="-0.499984740745262"/>
      </bottom>
      <diagonal/>
    </border>
    <border>
      <left style="thin">
        <color theme="5" tint="-0.499984740745262"/>
      </left>
      <right style="thin">
        <color theme="5" tint="-0.499984740745262"/>
      </right>
      <top/>
      <bottom style="thin">
        <color theme="5" tint="-0.499984740745262"/>
      </bottom>
      <diagonal/>
    </border>
    <border>
      <left style="medium">
        <color theme="5" tint="-0.499984740745262"/>
      </left>
      <right style="medium">
        <color theme="5" tint="-0.499984740745262"/>
      </right>
      <top style="medium">
        <color theme="5" tint="-0.499984740745262"/>
      </top>
      <bottom/>
      <diagonal/>
    </border>
    <border>
      <left style="medium">
        <color theme="5" tint="-0.499984740745262"/>
      </left>
      <right style="medium">
        <color theme="5" tint="-0.499984740745262"/>
      </right>
      <top/>
      <bottom/>
      <diagonal/>
    </border>
    <border>
      <left style="medium">
        <color theme="5" tint="-0.499984740745262"/>
      </left>
      <right style="medium">
        <color theme="5" tint="-0.499984740745262"/>
      </right>
      <top/>
      <bottom style="medium">
        <color theme="5" tint="-0.499984740745262"/>
      </bottom>
      <diagonal/>
    </border>
    <border>
      <left style="medium">
        <color theme="5" tint="-0.499984740745262"/>
      </left>
      <right style="medium">
        <color theme="5" tint="-0.499984740745262"/>
      </right>
      <top/>
      <bottom style="dashed">
        <color theme="5" tint="-0.499984740745262"/>
      </bottom>
      <diagonal/>
    </border>
    <border>
      <left/>
      <right/>
      <top style="medium">
        <color theme="6" tint="-0.499984740745262"/>
      </top>
      <bottom/>
      <diagonal/>
    </border>
    <border>
      <left/>
      <right/>
      <top/>
      <bottom style="medium">
        <color theme="6" tint="-0.499984740745262"/>
      </bottom>
      <diagonal/>
    </border>
    <border>
      <left style="thin">
        <color theme="6" tint="-0.499984740745262"/>
      </left>
      <right style="thin">
        <color theme="6" tint="-0.499984740745262"/>
      </right>
      <top style="medium">
        <color theme="6" tint="-0.499984740745262"/>
      </top>
      <bottom/>
      <diagonal/>
    </border>
    <border>
      <left style="thin">
        <color theme="6" tint="-0.499984740745262"/>
      </left>
      <right style="thin">
        <color theme="6" tint="-0.499984740745262"/>
      </right>
      <top/>
      <bottom style="medium">
        <color theme="6" tint="-0.499984740745262"/>
      </bottom>
      <diagonal/>
    </border>
    <border>
      <left style="thin">
        <color theme="6" tint="-0.499984740745262"/>
      </left>
      <right/>
      <top/>
      <bottom style="medium">
        <color theme="6" tint="-0.499984740745262"/>
      </bottom>
      <diagonal/>
    </border>
    <border>
      <left style="medium">
        <color theme="6" tint="-0.499984740745262"/>
      </left>
      <right/>
      <top/>
      <bottom/>
      <diagonal/>
    </border>
    <border>
      <left style="medium">
        <color theme="6" tint="-0.499984740745262"/>
      </left>
      <right style="medium">
        <color theme="6" tint="-0.499984740745262"/>
      </right>
      <top style="medium">
        <color theme="6" tint="-0.499984740745262"/>
      </top>
      <bottom style="dashed">
        <color theme="6" tint="-0.499984740745262"/>
      </bottom>
      <diagonal/>
    </border>
    <border>
      <left style="medium">
        <color theme="6" tint="-0.499984740745262"/>
      </left>
      <right/>
      <top style="medium">
        <color theme="6" tint="-0.499984740745262"/>
      </top>
      <bottom style="dashed">
        <color theme="6" tint="-0.499984740745262"/>
      </bottom>
      <diagonal/>
    </border>
    <border>
      <left style="thin">
        <color theme="6" tint="-0.499984740745262"/>
      </left>
      <right/>
      <top style="dashed">
        <color theme="6" tint="-0.499984740745262"/>
      </top>
      <bottom/>
      <diagonal/>
    </border>
    <border>
      <left style="thick">
        <color theme="6" tint="-0.499984740745262"/>
      </left>
      <right/>
      <top style="thick">
        <color theme="6" tint="-0.499984740745262"/>
      </top>
      <bottom/>
      <diagonal/>
    </border>
    <border>
      <left/>
      <right/>
      <top style="thick">
        <color theme="6" tint="-0.499984740745262"/>
      </top>
      <bottom/>
      <diagonal/>
    </border>
    <border>
      <left/>
      <right style="thick">
        <color theme="6" tint="-0.499984740745262"/>
      </right>
      <top style="thick">
        <color theme="6" tint="-0.499984740745262"/>
      </top>
      <bottom/>
      <diagonal/>
    </border>
    <border>
      <left style="thick">
        <color theme="6" tint="-0.499984740745262"/>
      </left>
      <right/>
      <top/>
      <bottom/>
      <diagonal/>
    </border>
    <border>
      <left/>
      <right style="thick">
        <color theme="6" tint="-0.499984740745262"/>
      </right>
      <top/>
      <bottom/>
      <diagonal/>
    </border>
    <border>
      <left style="thick">
        <color theme="6" tint="-0.499984740745262"/>
      </left>
      <right/>
      <top style="medium">
        <color theme="6" tint="-0.499984740745262"/>
      </top>
      <bottom/>
      <diagonal/>
    </border>
    <border>
      <left style="thick">
        <color theme="6" tint="-0.499984740745262"/>
      </left>
      <right/>
      <top/>
      <bottom style="medium">
        <color theme="6" tint="-0.499984740745262"/>
      </bottom>
      <diagonal/>
    </border>
    <border>
      <left style="thin">
        <color theme="6" tint="-0.499984740745262"/>
      </left>
      <right style="thick">
        <color theme="6" tint="-0.499984740745262"/>
      </right>
      <top/>
      <bottom/>
      <diagonal/>
    </border>
    <border>
      <left style="thick">
        <color theme="6" tint="-0.499984740745262"/>
      </left>
      <right style="medium">
        <color theme="6" tint="-0.499984740745262"/>
      </right>
      <top style="medium">
        <color theme="6" tint="-0.499984740745262"/>
      </top>
      <bottom/>
      <diagonal/>
    </border>
    <border>
      <left style="thick">
        <color theme="6" tint="-0.499984740745262"/>
      </left>
      <right style="medium">
        <color theme="6" tint="-0.499984740745262"/>
      </right>
      <top/>
      <bottom style="medium">
        <color theme="6" tint="-0.499984740745262"/>
      </bottom>
      <diagonal/>
    </border>
    <border>
      <left style="thick">
        <color theme="6" tint="-0.499984740745262"/>
      </left>
      <right/>
      <top/>
      <bottom style="thick">
        <color theme="6" tint="-0.499984740745262"/>
      </bottom>
      <diagonal/>
    </border>
    <border>
      <left/>
      <right style="thick">
        <color theme="6" tint="-0.499984740745262"/>
      </right>
      <top/>
      <bottom style="thick">
        <color theme="6" tint="-0.499984740745262"/>
      </bottom>
      <diagonal/>
    </border>
    <border>
      <left/>
      <right style="thin">
        <color theme="6" tint="-0.499984740745262"/>
      </right>
      <top style="medium">
        <color theme="6" tint="-0.499984740745262"/>
      </top>
      <bottom/>
      <diagonal/>
    </border>
    <border>
      <left/>
      <right style="thin">
        <color theme="6" tint="-0.499984740745262"/>
      </right>
      <top/>
      <bottom style="medium">
        <color theme="6" tint="-0.499984740745262"/>
      </bottom>
      <diagonal/>
    </border>
    <border>
      <left style="thin">
        <color theme="6" tint="-0.499984740745262"/>
      </left>
      <right style="medium">
        <color theme="6" tint="-0.499984740745262"/>
      </right>
      <top style="dashed">
        <color theme="6" tint="-0.499984740745262"/>
      </top>
      <bottom/>
      <diagonal/>
    </border>
    <border>
      <left style="thin">
        <color theme="6" tint="-0.499984740745262"/>
      </left>
      <right style="medium">
        <color theme="6" tint="-0.499984740745262"/>
      </right>
      <top/>
      <bottom style="medium">
        <color theme="6" tint="-0.499984740745262"/>
      </bottom>
      <diagonal/>
    </border>
    <border>
      <left style="medium">
        <color theme="5" tint="-0.499984740745262"/>
      </left>
      <right style="medium">
        <color theme="5" tint="-0.499984740745262"/>
      </right>
      <top style="dashed">
        <color theme="5" tint="-0.499984740745262"/>
      </top>
      <bottom/>
      <diagonal/>
    </border>
    <border>
      <left style="thick">
        <color theme="3"/>
      </left>
      <right/>
      <top style="thick">
        <color theme="3"/>
      </top>
      <bottom/>
      <diagonal/>
    </border>
    <border>
      <left/>
      <right/>
      <top style="thick">
        <color theme="3"/>
      </top>
      <bottom/>
      <diagonal/>
    </border>
    <border>
      <left/>
      <right style="thick">
        <color theme="3"/>
      </right>
      <top style="thick">
        <color theme="3"/>
      </top>
      <bottom/>
      <diagonal/>
    </border>
    <border>
      <left style="thick">
        <color theme="3"/>
      </left>
      <right/>
      <top/>
      <bottom/>
      <diagonal/>
    </border>
    <border>
      <left/>
      <right style="thick">
        <color theme="3"/>
      </right>
      <top/>
      <bottom/>
      <diagonal/>
    </border>
    <border>
      <left style="thick">
        <color theme="3"/>
      </left>
      <right/>
      <top style="medium">
        <color theme="3"/>
      </top>
      <bottom style="medium">
        <color theme="3"/>
      </bottom>
      <diagonal/>
    </border>
    <border>
      <left style="thick">
        <color theme="3"/>
      </left>
      <right/>
      <top/>
      <bottom style="thick">
        <color theme="3"/>
      </bottom>
      <diagonal/>
    </border>
    <border>
      <left/>
      <right/>
      <top/>
      <bottom style="thick">
        <color theme="3"/>
      </bottom>
      <diagonal/>
    </border>
    <border>
      <left/>
      <right style="thick">
        <color theme="3"/>
      </right>
      <top/>
      <bottom style="thick">
        <color theme="3"/>
      </bottom>
      <diagonal/>
    </border>
    <border>
      <left/>
      <right style="thin">
        <color theme="3"/>
      </right>
      <top style="medium">
        <color theme="3"/>
      </top>
      <bottom style="medium">
        <color theme="3"/>
      </bottom>
      <diagonal/>
    </border>
    <border>
      <left style="thick">
        <color theme="5" tint="-0.499984740745262"/>
      </left>
      <right/>
      <top style="thick">
        <color theme="5" tint="-0.499984740745262"/>
      </top>
      <bottom/>
      <diagonal/>
    </border>
    <border>
      <left/>
      <right/>
      <top style="thick">
        <color theme="5" tint="-0.499984740745262"/>
      </top>
      <bottom/>
      <diagonal/>
    </border>
    <border>
      <left/>
      <right style="thick">
        <color theme="5" tint="-0.499984740745262"/>
      </right>
      <top style="thick">
        <color theme="5" tint="-0.499984740745262"/>
      </top>
      <bottom/>
      <diagonal/>
    </border>
    <border>
      <left style="thick">
        <color theme="5" tint="-0.499984740745262"/>
      </left>
      <right/>
      <top/>
      <bottom/>
      <diagonal/>
    </border>
    <border>
      <left/>
      <right style="thick">
        <color theme="5" tint="-0.499984740745262"/>
      </right>
      <top/>
      <bottom/>
      <diagonal/>
    </border>
    <border>
      <left style="thick">
        <color theme="5" tint="-0.499984740745262"/>
      </left>
      <right/>
      <top/>
      <bottom style="thick">
        <color theme="5" tint="-0.499984740745262"/>
      </bottom>
      <diagonal/>
    </border>
    <border>
      <left/>
      <right style="thick">
        <color theme="5" tint="-0.499984740745262"/>
      </right>
      <top/>
      <bottom style="thick">
        <color theme="5" tint="-0.499984740745262"/>
      </bottom>
      <diagonal/>
    </border>
    <border>
      <left/>
      <right/>
      <top style="medium">
        <color theme="3"/>
      </top>
      <bottom/>
      <diagonal/>
    </border>
    <border>
      <left style="medium">
        <color theme="3"/>
      </left>
      <right style="medium">
        <color theme="3"/>
      </right>
      <top style="medium">
        <color theme="3"/>
      </top>
      <bottom style="dashed">
        <color theme="3"/>
      </bottom>
      <diagonal/>
    </border>
    <border>
      <left style="thick">
        <color theme="3"/>
      </left>
      <right/>
      <top style="medium">
        <color theme="3"/>
      </top>
      <bottom/>
      <diagonal/>
    </border>
    <border>
      <left/>
      <right style="thin">
        <color indexed="64"/>
      </right>
      <top style="medium">
        <color indexed="64"/>
      </top>
      <bottom/>
      <diagonal/>
    </border>
    <border>
      <left style="medium">
        <color rgb="FFFFFF00"/>
      </left>
      <right/>
      <top style="medium">
        <color rgb="FFFFFF00"/>
      </top>
      <bottom/>
      <diagonal/>
    </border>
    <border>
      <left/>
      <right style="thin">
        <color indexed="64"/>
      </right>
      <top style="medium">
        <color rgb="FFFFFF00"/>
      </top>
      <bottom/>
      <diagonal/>
    </border>
    <border>
      <left/>
      <right style="medium">
        <color rgb="FFFFFF00"/>
      </right>
      <top style="medium">
        <color rgb="FFFFFF00"/>
      </top>
      <bottom style="thin">
        <color indexed="64"/>
      </bottom>
      <diagonal/>
    </border>
    <border>
      <left style="medium">
        <color rgb="FFFFFF00"/>
      </left>
      <right/>
      <top/>
      <bottom/>
      <diagonal/>
    </border>
    <border>
      <left/>
      <right style="medium">
        <color rgb="FFFFFF00"/>
      </right>
      <top style="thin">
        <color indexed="64"/>
      </top>
      <bottom style="thin">
        <color indexed="64"/>
      </bottom>
      <diagonal/>
    </border>
    <border>
      <left style="medium">
        <color theme="8" tint="-0.24994659260841701"/>
      </left>
      <right/>
      <top/>
      <bottom/>
      <diagonal/>
    </border>
    <border>
      <left/>
      <right style="medium">
        <color theme="8" tint="-0.24994659260841701"/>
      </right>
      <top/>
      <bottom style="thin">
        <color indexed="64"/>
      </bottom>
      <diagonal/>
    </border>
    <border>
      <left style="medium">
        <color theme="8" tint="-0.24994659260841701"/>
      </left>
      <right/>
      <top/>
      <bottom style="medium">
        <color theme="8" tint="-0.24994659260841701"/>
      </bottom>
      <diagonal/>
    </border>
    <border>
      <left/>
      <right style="thin">
        <color indexed="64"/>
      </right>
      <top/>
      <bottom style="medium">
        <color theme="8" tint="-0.24994659260841701"/>
      </bottom>
      <diagonal/>
    </border>
    <border>
      <left style="medium">
        <color rgb="FFFFFF00"/>
      </left>
      <right/>
      <top/>
      <bottom style="mediumDashed">
        <color rgb="FF00B050"/>
      </bottom>
      <diagonal/>
    </border>
    <border>
      <left/>
      <right style="thin">
        <color indexed="64"/>
      </right>
      <top/>
      <bottom style="mediumDashed">
        <color rgb="FF00B050"/>
      </bottom>
      <diagonal/>
    </border>
    <border>
      <left/>
      <right style="medium">
        <color rgb="FFFFFF00"/>
      </right>
      <top/>
      <bottom style="mediumDashed">
        <color rgb="FF00B050"/>
      </bottom>
      <diagonal/>
    </border>
    <border>
      <left style="thin">
        <color theme="4" tint="0.39994506668294322"/>
      </left>
      <right/>
      <top style="thin">
        <color theme="4" tint="0.39994506668294322"/>
      </top>
      <bottom style="thin">
        <color theme="4" tint="0.39994506668294322"/>
      </bottom>
      <diagonal/>
    </border>
    <border>
      <left/>
      <right style="thin">
        <color theme="4" tint="0.39994506668294322"/>
      </right>
      <top style="thin">
        <color theme="4" tint="0.39994506668294322"/>
      </top>
      <bottom style="thin">
        <color theme="4" tint="0.39994506668294322"/>
      </bottom>
      <diagonal/>
    </border>
    <border>
      <left style="thin">
        <color theme="4" tint="0.39991454817346722"/>
      </left>
      <right/>
      <top style="thin">
        <color theme="4" tint="0.39994506668294322"/>
      </top>
      <bottom/>
      <diagonal/>
    </border>
    <border>
      <left style="medium">
        <color theme="5" tint="-0.24994659260841701"/>
      </left>
      <right style="thin">
        <color theme="5" tint="-0.24994659260841701"/>
      </right>
      <top style="medium">
        <color theme="5" tint="-0.24994659260841701"/>
      </top>
      <bottom/>
      <diagonal/>
    </border>
    <border>
      <left style="thin">
        <color theme="6" tint="-0.499984740745262"/>
      </left>
      <right/>
      <top style="thick">
        <color theme="6" tint="-0.499984740745262"/>
      </top>
      <bottom style="thin">
        <color theme="6" tint="-0.499984740745262"/>
      </bottom>
      <diagonal/>
    </border>
    <border>
      <left/>
      <right style="thin">
        <color theme="6" tint="-0.499984740745262"/>
      </right>
      <top style="thick">
        <color theme="6" tint="-0.499984740745262"/>
      </top>
      <bottom style="thin">
        <color theme="6" tint="-0.499984740745262"/>
      </bottom>
      <diagonal/>
    </border>
    <border>
      <left style="thin">
        <color theme="3" tint="0.39994506668294322"/>
      </left>
      <right/>
      <top style="thick">
        <color theme="3"/>
      </top>
      <bottom style="thin">
        <color theme="3" tint="0.39994506668294322"/>
      </bottom>
      <diagonal/>
    </border>
    <border>
      <left/>
      <right/>
      <top style="thick">
        <color theme="3"/>
      </top>
      <bottom style="thin">
        <color theme="3" tint="0.39994506668294322"/>
      </bottom>
      <diagonal/>
    </border>
    <border>
      <left/>
      <right style="thick">
        <color theme="3"/>
      </right>
      <top style="dashed">
        <color theme="3"/>
      </top>
      <bottom style="thin">
        <color theme="3" tint="0.39994506668294322"/>
      </bottom>
      <diagonal/>
    </border>
    <border>
      <left style="thin">
        <color theme="3" tint="0.39994506668294322"/>
      </left>
      <right/>
      <top style="thin">
        <color theme="3" tint="0.39994506668294322"/>
      </top>
      <bottom style="thin">
        <color theme="3" tint="0.39994506668294322"/>
      </bottom>
      <diagonal/>
    </border>
    <border>
      <left/>
      <right/>
      <top style="thin">
        <color theme="3" tint="0.39994506668294322"/>
      </top>
      <bottom style="thin">
        <color theme="3" tint="0.39994506668294322"/>
      </bottom>
      <diagonal/>
    </border>
    <border>
      <left/>
      <right style="thick">
        <color theme="3"/>
      </right>
      <top style="thin">
        <color theme="3" tint="0.39994506668294322"/>
      </top>
      <bottom style="thin">
        <color theme="3" tint="0.39994506668294322"/>
      </bottom>
      <diagonal/>
    </border>
    <border>
      <left style="thin">
        <color theme="3" tint="0.39994506668294322"/>
      </left>
      <right/>
      <top style="thin">
        <color theme="3" tint="0.39994506668294322"/>
      </top>
      <bottom style="thick">
        <color theme="3"/>
      </bottom>
      <diagonal/>
    </border>
    <border>
      <left/>
      <right/>
      <top style="thin">
        <color theme="3" tint="0.39994506668294322"/>
      </top>
      <bottom style="thick">
        <color theme="3"/>
      </bottom>
      <diagonal/>
    </border>
    <border>
      <left/>
      <right style="thick">
        <color theme="3"/>
      </right>
      <top style="thin">
        <color theme="3" tint="0.39994506668294322"/>
      </top>
      <bottom style="thick">
        <color theme="3"/>
      </bottom>
      <diagonal/>
    </border>
    <border>
      <left style="thin">
        <color indexed="64"/>
      </left>
      <right style="medium">
        <color indexed="64"/>
      </right>
      <top style="thin">
        <color indexed="64"/>
      </top>
      <bottom/>
      <diagonal/>
    </border>
    <border>
      <left style="thick">
        <color indexed="64"/>
      </left>
      <right/>
      <top style="thin">
        <color indexed="64"/>
      </top>
      <bottom/>
      <diagonal/>
    </border>
    <border>
      <left/>
      <right style="thick">
        <color indexed="64"/>
      </right>
      <top style="thin">
        <color indexed="64"/>
      </top>
      <bottom/>
      <diagonal/>
    </border>
  </borders>
  <cellStyleXfs count="8">
    <xf numFmtId="0" fontId="0" fillId="0" borderId="0"/>
    <xf numFmtId="9" fontId="1" fillId="0" borderId="0" applyFont="0" applyFill="0" applyBorder="0" applyAlignment="0" applyProtection="0"/>
    <xf numFmtId="0" fontId="6" fillId="0" borderId="0"/>
    <xf numFmtId="0" fontId="8" fillId="0" borderId="0" applyNumberFormat="0" applyFill="0" applyBorder="0" applyAlignment="0" applyProtection="0"/>
    <xf numFmtId="0" fontId="25" fillId="0" borderId="0"/>
    <xf numFmtId="43" fontId="25" fillId="0" borderId="0" applyFont="0" applyFill="0" applyBorder="0" applyAlignment="0" applyProtection="0"/>
    <xf numFmtId="0" fontId="25" fillId="0" borderId="0"/>
    <xf numFmtId="9" fontId="25" fillId="0" borderId="0" applyFont="0" applyFill="0" applyBorder="0" applyAlignment="0" applyProtection="0"/>
  </cellStyleXfs>
  <cellXfs count="1585">
    <xf numFmtId="0" fontId="0" fillId="0" borderId="0" xfId="0"/>
    <xf numFmtId="0" fontId="2" fillId="4" borderId="6" xfId="0" applyFont="1" applyFill="1" applyBorder="1" applyAlignment="1"/>
    <xf numFmtId="0" fontId="2" fillId="6" borderId="8" xfId="0" applyFont="1" applyFill="1" applyBorder="1" applyAlignment="1"/>
    <xf numFmtId="0" fontId="2" fillId="6" borderId="6" xfId="0" applyFont="1" applyFill="1" applyBorder="1" applyAlignment="1"/>
    <xf numFmtId="0" fontId="2" fillId="6" borderId="9" xfId="0" applyFont="1" applyFill="1" applyBorder="1" applyAlignment="1"/>
    <xf numFmtId="0" fontId="2" fillId="8" borderId="1" xfId="0" applyFont="1" applyFill="1" applyBorder="1" applyAlignment="1"/>
    <xf numFmtId="0" fontId="2" fillId="8" borderId="6" xfId="0" applyFont="1" applyFill="1" applyBorder="1" applyAlignment="1"/>
    <xf numFmtId="0" fontId="0" fillId="3" borderId="11" xfId="0" applyFill="1" applyBorder="1" applyAlignment="1">
      <alignment horizontal="center"/>
    </xf>
    <xf numFmtId="1" fontId="0" fillId="3" borderId="11" xfId="0" applyNumberFormat="1" applyFill="1" applyBorder="1" applyAlignment="1">
      <alignment horizontal="center"/>
    </xf>
    <xf numFmtId="164" fontId="0" fillId="3" borderId="11" xfId="0" applyNumberFormat="1" applyFill="1" applyBorder="1" applyAlignment="1">
      <alignment horizontal="center"/>
    </xf>
    <xf numFmtId="1" fontId="0" fillId="5" borderId="11" xfId="0" applyNumberFormat="1" applyFill="1" applyBorder="1" applyAlignment="1">
      <alignment horizontal="center"/>
    </xf>
    <xf numFmtId="164" fontId="0" fillId="5" borderId="11" xfId="0" applyNumberFormat="1" applyFill="1" applyBorder="1" applyAlignment="1">
      <alignment horizontal="center"/>
    </xf>
    <xf numFmtId="1" fontId="0" fillId="6" borderId="11" xfId="0" applyNumberFormat="1" applyFill="1" applyBorder="1" applyAlignment="1">
      <alignment horizontal="center"/>
    </xf>
    <xf numFmtId="166" fontId="0" fillId="0" borderId="9" xfId="0" applyNumberFormat="1" applyFont="1" applyBorder="1" applyAlignment="1">
      <alignment horizontal="center" vertical="center"/>
    </xf>
    <xf numFmtId="166" fontId="0" fillId="0" borderId="11" xfId="0" applyNumberFormat="1" applyFont="1" applyBorder="1" applyAlignment="1">
      <alignment horizontal="center" vertical="center"/>
    </xf>
    <xf numFmtId="1" fontId="0" fillId="0" borderId="11" xfId="0" applyNumberFormat="1" applyFont="1" applyBorder="1" applyAlignment="1">
      <alignment horizontal="center" vertical="center"/>
    </xf>
    <xf numFmtId="0" fontId="0" fillId="0" borderId="0" xfId="0" applyFill="1" applyBorder="1" applyAlignment="1">
      <alignment horizontal="center"/>
    </xf>
    <xf numFmtId="0" fontId="0" fillId="0" borderId="1" xfId="0" applyBorder="1" applyAlignment="1">
      <alignment horizontal="center"/>
    </xf>
    <xf numFmtId="164" fontId="0" fillId="11" borderId="11" xfId="0" applyNumberFormat="1" applyFill="1" applyBorder="1" applyAlignment="1">
      <alignment horizontal="center"/>
    </xf>
    <xf numFmtId="2" fontId="0" fillId="11" borderId="11" xfId="0" applyNumberFormat="1" applyFill="1" applyBorder="1" applyAlignment="1">
      <alignment horizontal="center"/>
    </xf>
    <xf numFmtId="2" fontId="0" fillId="5" borderId="11" xfId="0" applyNumberFormat="1" applyFill="1" applyBorder="1" applyAlignment="1">
      <alignment horizontal="center"/>
    </xf>
    <xf numFmtId="164" fontId="0" fillId="12" borderId="10" xfId="0" applyNumberFormat="1" applyFill="1" applyBorder="1" applyAlignment="1">
      <alignment horizontal="center"/>
    </xf>
    <xf numFmtId="1" fontId="0" fillId="12" borderId="11" xfId="0" applyNumberFormat="1" applyFill="1" applyBorder="1" applyAlignment="1">
      <alignment horizontal="center"/>
    </xf>
    <xf numFmtId="164" fontId="0" fillId="3" borderId="10" xfId="0" applyNumberFormat="1" applyFill="1" applyBorder="1" applyAlignment="1">
      <alignment horizontal="center"/>
    </xf>
    <xf numFmtId="0" fontId="0" fillId="0" borderId="0" xfId="0" applyBorder="1" applyAlignment="1">
      <alignment horizontal="center"/>
    </xf>
    <xf numFmtId="164" fontId="0" fillId="12" borderId="1" xfId="0" applyNumberFormat="1" applyFill="1" applyBorder="1" applyAlignment="1">
      <alignment horizontal="center"/>
    </xf>
    <xf numFmtId="164" fontId="0" fillId="12" borderId="11" xfId="0" applyNumberFormat="1" applyFill="1" applyBorder="1" applyAlignment="1">
      <alignment horizontal="center"/>
    </xf>
    <xf numFmtId="164" fontId="0" fillId="3" borderId="1" xfId="0" applyNumberFormat="1" applyFill="1" applyBorder="1" applyAlignment="1">
      <alignment horizontal="center"/>
    </xf>
    <xf numFmtId="0" fontId="9" fillId="0" borderId="29" xfId="0" applyFont="1" applyBorder="1" applyAlignment="1">
      <alignment horizontal="center"/>
    </xf>
    <xf numFmtId="0" fontId="9" fillId="0" borderId="57" xfId="0" applyFont="1" applyBorder="1" applyAlignment="1">
      <alignment horizontal="center"/>
    </xf>
    <xf numFmtId="0" fontId="9" fillId="0" borderId="67" xfId="0" applyFont="1" applyBorder="1" applyAlignment="1">
      <alignment horizontal="center"/>
    </xf>
    <xf numFmtId="0" fontId="9" fillId="0" borderId="29" xfId="0" applyFont="1" applyFill="1" applyBorder="1" applyAlignment="1">
      <alignment horizontal="center"/>
    </xf>
    <xf numFmtId="0" fontId="0" fillId="0" borderId="37" xfId="0" applyBorder="1" applyAlignment="1">
      <alignment horizontal="center"/>
    </xf>
    <xf numFmtId="0" fontId="0" fillId="0" borderId="68" xfId="0" applyBorder="1" applyAlignment="1">
      <alignment horizontal="center"/>
    </xf>
    <xf numFmtId="0" fontId="0" fillId="22" borderId="69" xfId="0" applyFill="1" applyBorder="1" applyAlignment="1">
      <alignment horizontal="center"/>
    </xf>
    <xf numFmtId="0" fontId="10" fillId="23" borderId="34" xfId="0" applyFont="1" applyFill="1" applyBorder="1" applyAlignment="1">
      <alignment horizontal="center"/>
    </xf>
    <xf numFmtId="0" fontId="10" fillId="23" borderId="69" xfId="0" applyFont="1" applyFill="1" applyBorder="1" applyAlignment="1">
      <alignment horizontal="center"/>
    </xf>
    <xf numFmtId="0" fontId="10" fillId="23" borderId="35" xfId="0" applyFont="1" applyFill="1" applyBorder="1" applyAlignment="1">
      <alignment horizontal="center"/>
    </xf>
    <xf numFmtId="0" fontId="0" fillId="0" borderId="0" xfId="0" applyFill="1" applyBorder="1"/>
    <xf numFmtId="0" fontId="0" fillId="0" borderId="0" xfId="0" applyBorder="1"/>
    <xf numFmtId="0" fontId="11" fillId="0" borderId="0" xfId="0" applyFont="1"/>
    <xf numFmtId="0" fontId="11" fillId="0" borderId="0" xfId="0" applyFont="1" applyAlignment="1"/>
    <xf numFmtId="0" fontId="0" fillId="0" borderId="37" xfId="0" applyBorder="1"/>
    <xf numFmtId="0" fontId="0" fillId="0" borderId="0" xfId="0" applyFill="1" applyAlignment="1">
      <alignment horizontal="center"/>
    </xf>
    <xf numFmtId="0" fontId="0" fillId="0" borderId="0" xfId="0" applyFill="1" applyAlignment="1"/>
    <xf numFmtId="0" fontId="0" fillId="22" borderId="69" xfId="0" applyFill="1" applyBorder="1"/>
    <xf numFmtId="0" fontId="0" fillId="22" borderId="36" xfId="0" applyFill="1" applyBorder="1"/>
    <xf numFmtId="0" fontId="0" fillId="0" borderId="0" xfId="0" applyAlignment="1">
      <alignment horizontal="center"/>
    </xf>
    <xf numFmtId="0" fontId="0" fillId="22" borderId="0" xfId="0" applyFill="1" applyAlignment="1">
      <alignment horizontal="center"/>
    </xf>
    <xf numFmtId="164" fontId="12" fillId="0" borderId="0" xfId="0" applyNumberFormat="1" applyFont="1" applyAlignment="1">
      <alignment horizontal="center"/>
    </xf>
    <xf numFmtId="0" fontId="13" fillId="0" borderId="0" xfId="0" applyFont="1" applyFill="1" applyBorder="1" applyAlignment="1">
      <alignment horizontal="center" wrapText="1"/>
    </xf>
    <xf numFmtId="0" fontId="12" fillId="0" borderId="73" xfId="0" applyFont="1" applyFill="1" applyBorder="1" applyAlignment="1">
      <alignment horizontal="center" wrapText="1"/>
    </xf>
    <xf numFmtId="0" fontId="12" fillId="0" borderId="74" xfId="0" applyFont="1" applyFill="1" applyBorder="1" applyAlignment="1">
      <alignment horizontal="center" wrapText="1"/>
    </xf>
    <xf numFmtId="0" fontId="0" fillId="0" borderId="74" xfId="0" applyFill="1" applyBorder="1" applyAlignment="1">
      <alignment horizontal="center" wrapText="1"/>
    </xf>
    <xf numFmtId="0" fontId="12" fillId="27" borderId="74" xfId="0" applyFont="1" applyFill="1" applyBorder="1" applyAlignment="1">
      <alignment horizontal="center" wrapText="1"/>
    </xf>
    <xf numFmtId="0" fontId="12" fillId="28" borderId="74" xfId="0" applyFont="1" applyFill="1" applyBorder="1" applyAlignment="1">
      <alignment horizontal="center" wrapText="1"/>
    </xf>
    <xf numFmtId="0" fontId="12" fillId="0" borderId="75" xfId="0" applyFont="1" applyFill="1" applyBorder="1" applyAlignment="1">
      <alignment horizontal="center" wrapText="1"/>
    </xf>
    <xf numFmtId="0" fontId="12" fillId="0" borderId="0" xfId="0" applyFont="1" applyFill="1" applyBorder="1" applyAlignment="1">
      <alignment horizontal="center" wrapText="1"/>
    </xf>
    <xf numFmtId="0" fontId="14" fillId="0" borderId="0" xfId="0" applyFont="1" applyFill="1" applyBorder="1" applyAlignment="1">
      <alignment horizontal="center" wrapText="1"/>
    </xf>
    <xf numFmtId="0" fontId="14" fillId="0" borderId="0" xfId="0" applyFont="1" applyFill="1" applyBorder="1" applyAlignment="1">
      <alignment wrapText="1"/>
    </xf>
    <xf numFmtId="0" fontId="0" fillId="0" borderId="0" xfId="0" applyFill="1" applyBorder="1" applyAlignment="1">
      <alignment horizontal="center" wrapText="1"/>
    </xf>
    <xf numFmtId="0" fontId="12" fillId="0" borderId="76" xfId="0" applyFont="1" applyFill="1" applyBorder="1" applyAlignment="1">
      <alignment horizontal="center" wrapText="1"/>
    </xf>
    <xf numFmtId="0" fontId="14" fillId="0" borderId="0" xfId="0" applyFont="1" applyFill="1" applyBorder="1" applyAlignment="1">
      <alignment horizontal="center"/>
    </xf>
    <xf numFmtId="1" fontId="14" fillId="0" borderId="0" xfId="0" applyNumberFormat="1" applyFont="1" applyFill="1" applyBorder="1" applyAlignment="1">
      <alignment horizontal="center"/>
    </xf>
    <xf numFmtId="166" fontId="14" fillId="0" borderId="0" xfId="0" applyNumberFormat="1" applyFont="1" applyFill="1" applyBorder="1" applyAlignment="1">
      <alignment horizontal="center"/>
    </xf>
    <xf numFmtId="166" fontId="0" fillId="0" borderId="0" xfId="0" applyNumberFormat="1" applyFill="1" applyBorder="1" applyAlignment="1">
      <alignment horizontal="center"/>
    </xf>
    <xf numFmtId="166" fontId="0" fillId="0" borderId="77" xfId="0" applyNumberFormat="1" applyFill="1" applyBorder="1" applyAlignment="1">
      <alignment horizontal="center"/>
    </xf>
    <xf numFmtId="166" fontId="0" fillId="0" borderId="78" xfId="0" applyNumberFormat="1" applyFill="1" applyBorder="1" applyAlignment="1">
      <alignment horizontal="center"/>
    </xf>
    <xf numFmtId="0" fontId="12" fillId="0" borderId="0" xfId="0" applyFont="1" applyFill="1" applyBorder="1" applyAlignment="1">
      <alignment horizontal="center" vertical="center" wrapText="1"/>
    </xf>
    <xf numFmtId="0" fontId="12" fillId="0" borderId="76" xfId="0" applyFont="1" applyFill="1" applyBorder="1" applyAlignment="1">
      <alignment horizontal="center" vertical="center"/>
    </xf>
    <xf numFmtId="0" fontId="0" fillId="0" borderId="76" xfId="0" applyFill="1" applyBorder="1"/>
    <xf numFmtId="1" fontId="14" fillId="27" borderId="0" xfId="0" applyNumberFormat="1" applyFont="1" applyFill="1" applyBorder="1" applyAlignment="1">
      <alignment horizontal="center"/>
    </xf>
    <xf numFmtId="166" fontId="0" fillId="27" borderId="0" xfId="0" applyNumberFormat="1" applyFill="1" applyBorder="1" applyAlignment="1">
      <alignment horizontal="center"/>
    </xf>
    <xf numFmtId="1" fontId="14" fillId="28" borderId="0" xfId="0" applyNumberFormat="1" applyFont="1" applyFill="1" applyBorder="1" applyAlignment="1">
      <alignment horizontal="center"/>
    </xf>
    <xf numFmtId="166" fontId="0" fillId="28" borderId="0" xfId="0" applyNumberFormat="1" applyFill="1" applyBorder="1" applyAlignment="1">
      <alignment horizontal="center"/>
    </xf>
    <xf numFmtId="0" fontId="12" fillId="0" borderId="76" xfId="0" applyFont="1" applyFill="1" applyBorder="1" applyAlignment="1">
      <alignment horizontal="center"/>
    </xf>
    <xf numFmtId="0" fontId="12" fillId="0" borderId="0" xfId="0" applyFont="1" applyFill="1" applyBorder="1" applyAlignment="1">
      <alignment horizontal="center" vertical="center"/>
    </xf>
    <xf numFmtId="166" fontId="0" fillId="28" borderId="77" xfId="0" applyNumberFormat="1" applyFill="1" applyBorder="1" applyAlignment="1">
      <alignment horizontal="center"/>
    </xf>
    <xf numFmtId="0" fontId="0" fillId="0" borderId="73" xfId="0" applyFill="1" applyBorder="1"/>
    <xf numFmtId="0" fontId="14" fillId="0" borderId="74" xfId="0" applyFont="1" applyFill="1" applyBorder="1" applyAlignment="1">
      <alignment horizontal="center"/>
    </xf>
    <xf numFmtId="1" fontId="14" fillId="0" borderId="74" xfId="0" applyNumberFormat="1" applyFont="1" applyFill="1" applyBorder="1" applyAlignment="1">
      <alignment horizontal="center"/>
    </xf>
    <xf numFmtId="166" fontId="14" fillId="0" borderId="74" xfId="0" applyNumberFormat="1" applyFont="1" applyFill="1" applyBorder="1" applyAlignment="1">
      <alignment horizontal="center"/>
    </xf>
    <xf numFmtId="166" fontId="0" fillId="0" borderId="74" xfId="0" applyNumberFormat="1" applyFill="1" applyBorder="1" applyAlignment="1">
      <alignment horizontal="center"/>
    </xf>
    <xf numFmtId="166" fontId="0" fillId="0" borderId="79" xfId="0" applyNumberFormat="1" applyFill="1" applyBorder="1" applyAlignment="1">
      <alignment horizontal="center"/>
    </xf>
    <xf numFmtId="166" fontId="0" fillId="0" borderId="73" xfId="0" applyNumberFormat="1" applyFill="1" applyBorder="1" applyAlignment="1">
      <alignment horizontal="center"/>
    </xf>
    <xf numFmtId="166" fontId="0" fillId="0" borderId="75" xfId="0" applyNumberFormat="1" applyFill="1" applyBorder="1" applyAlignment="1">
      <alignment horizontal="center"/>
    </xf>
    <xf numFmtId="2" fontId="14" fillId="0" borderId="0" xfId="0" applyNumberFormat="1" applyFont="1" applyFill="1" applyBorder="1" applyAlignment="1">
      <alignment horizontal="center"/>
    </xf>
    <xf numFmtId="164" fontId="0" fillId="0" borderId="0" xfId="0" applyNumberFormat="1" applyFill="1" applyBorder="1" applyAlignment="1">
      <alignment horizontal="center"/>
    </xf>
    <xf numFmtId="0" fontId="14" fillId="0" borderId="74" xfId="0" applyFont="1" applyFill="1" applyBorder="1" applyAlignment="1">
      <alignment horizontal="center" wrapText="1"/>
    </xf>
    <xf numFmtId="0" fontId="14" fillId="0" borderId="74" xfId="0" applyFont="1" applyFill="1" applyBorder="1" applyAlignment="1">
      <alignment wrapText="1"/>
    </xf>
    <xf numFmtId="166" fontId="0" fillId="0" borderId="80" xfId="0" applyNumberFormat="1" applyFill="1" applyBorder="1" applyAlignment="1">
      <alignment horizontal="center"/>
    </xf>
    <xf numFmtId="0" fontId="12" fillId="0" borderId="0" xfId="0" applyFont="1" applyFill="1" applyBorder="1" applyAlignment="1">
      <alignment horizontal="center"/>
    </xf>
    <xf numFmtId="166" fontId="0" fillId="28" borderId="80" xfId="0" applyNumberFormat="1" applyFill="1" applyBorder="1" applyAlignment="1">
      <alignment horizontal="center"/>
    </xf>
    <xf numFmtId="166" fontId="0" fillId="0" borderId="81" xfId="0" applyNumberFormat="1" applyFill="1" applyBorder="1" applyAlignment="1">
      <alignment horizontal="center"/>
    </xf>
    <xf numFmtId="0" fontId="0" fillId="0" borderId="56" xfId="0" applyFill="1" applyBorder="1" applyAlignment="1">
      <alignment horizontal="center" wrapText="1"/>
    </xf>
    <xf numFmtId="166" fontId="0" fillId="0" borderId="56" xfId="0" applyNumberFormat="1" applyFill="1" applyBorder="1" applyAlignment="1">
      <alignment horizontal="center"/>
    </xf>
    <xf numFmtId="0" fontId="12" fillId="0" borderId="74" xfId="0" applyFont="1" applyFill="1" applyBorder="1" applyAlignment="1">
      <alignment horizontal="center" vertical="center"/>
    </xf>
    <xf numFmtId="1" fontId="14" fillId="0" borderId="29" xfId="0" applyNumberFormat="1" applyFont="1" applyFill="1" applyBorder="1" applyAlignment="1">
      <alignment horizontal="center"/>
    </xf>
    <xf numFmtId="166" fontId="14" fillId="0" borderId="29" xfId="0" applyNumberFormat="1" applyFont="1" applyFill="1" applyBorder="1" applyAlignment="1">
      <alignment horizontal="center"/>
    </xf>
    <xf numFmtId="166" fontId="0" fillId="0" borderId="29" xfId="0" applyNumberFormat="1" applyFill="1" applyBorder="1" applyAlignment="1">
      <alignment horizontal="center"/>
    </xf>
    <xf numFmtId="166" fontId="0" fillId="0" borderId="30" xfId="0" applyNumberFormat="1" applyFill="1" applyBorder="1" applyAlignment="1">
      <alignment horizontal="center"/>
    </xf>
    <xf numFmtId="166" fontId="0" fillId="0" borderId="22" xfId="0" applyNumberFormat="1" applyFill="1" applyBorder="1" applyAlignment="1">
      <alignment horizontal="center"/>
    </xf>
    <xf numFmtId="0" fontId="2" fillId="0" borderId="41" xfId="0" applyFont="1" applyBorder="1"/>
    <xf numFmtId="0" fontId="2" fillId="0" borderId="41" xfId="0" applyFont="1" applyBorder="1" applyAlignment="1">
      <alignment horizontal="center"/>
    </xf>
    <xf numFmtId="0" fontId="2" fillId="0" borderId="41" xfId="0" applyFont="1" applyFill="1" applyBorder="1"/>
    <xf numFmtId="9" fontId="0" fillId="0" borderId="0" xfId="0" applyNumberFormat="1" applyAlignment="1">
      <alignment horizontal="center"/>
    </xf>
    <xf numFmtId="17" fontId="0" fillId="0" borderId="0" xfId="0" quotePrefix="1" applyNumberFormat="1" applyAlignment="1">
      <alignment horizontal="center"/>
    </xf>
    <xf numFmtId="0" fontId="2" fillId="0" borderId="0" xfId="0" applyFont="1"/>
    <xf numFmtId="0" fontId="0" fillId="9" borderId="1" xfId="0" applyFill="1" applyBorder="1" applyAlignment="1">
      <alignment horizontal="center" wrapText="1"/>
    </xf>
    <xf numFmtId="0" fontId="2" fillId="9" borderId="6" xfId="0" applyFont="1" applyFill="1" applyBorder="1" applyAlignment="1" applyProtection="1">
      <alignment horizontal="center"/>
    </xf>
    <xf numFmtId="0" fontId="2" fillId="9" borderId="9" xfId="0" applyFont="1" applyFill="1" applyBorder="1" applyAlignment="1" applyProtection="1">
      <alignment horizontal="center"/>
    </xf>
    <xf numFmtId="0" fontId="2" fillId="9" borderId="11" xfId="0" applyFont="1" applyFill="1" applyBorder="1" applyAlignment="1">
      <alignment horizontal="center"/>
    </xf>
    <xf numFmtId="0" fontId="0" fillId="0" borderId="68" xfId="0" applyBorder="1"/>
    <xf numFmtId="168" fontId="0" fillId="0" borderId="17" xfId="1" applyNumberFormat="1" applyFont="1" applyBorder="1"/>
    <xf numFmtId="168" fontId="0" fillId="0" borderId="83" xfId="1" applyNumberFormat="1" applyFont="1" applyBorder="1"/>
    <xf numFmtId="0" fontId="0" fillId="0" borderId="84" xfId="0" applyBorder="1"/>
    <xf numFmtId="0" fontId="0" fillId="0" borderId="41" xfId="0" applyBorder="1"/>
    <xf numFmtId="0" fontId="0" fillId="0" borderId="38" xfId="0" applyBorder="1"/>
    <xf numFmtId="168" fontId="0" fillId="0" borderId="85" xfId="1" applyNumberFormat="1" applyFont="1" applyBorder="1"/>
    <xf numFmtId="0" fontId="0" fillId="0" borderId="15" xfId="0" applyBorder="1"/>
    <xf numFmtId="0" fontId="0" fillId="0" borderId="5" xfId="0" applyBorder="1"/>
    <xf numFmtId="0" fontId="0" fillId="0" borderId="16" xfId="0" applyBorder="1"/>
    <xf numFmtId="168" fontId="0" fillId="0" borderId="15" xfId="1" applyNumberFormat="1" applyFont="1" applyBorder="1"/>
    <xf numFmtId="168" fontId="0" fillId="0" borderId="16" xfId="1" applyNumberFormat="1" applyFont="1" applyBorder="1"/>
    <xf numFmtId="168" fontId="0" fillId="0" borderId="68" xfId="1" applyNumberFormat="1" applyFont="1" applyBorder="1"/>
    <xf numFmtId="168" fontId="0" fillId="0" borderId="37" xfId="1" applyNumberFormat="1" applyFont="1" applyBorder="1"/>
    <xf numFmtId="168" fontId="0" fillId="0" borderId="84" xfId="1" applyNumberFormat="1" applyFont="1" applyBorder="1"/>
    <xf numFmtId="168" fontId="0" fillId="0" borderId="38" xfId="1" applyNumberFormat="1" applyFont="1" applyBorder="1"/>
    <xf numFmtId="0" fontId="0" fillId="9" borderId="11" xfId="0" applyFill="1" applyBorder="1" applyAlignment="1">
      <alignment horizontal="center" wrapText="1"/>
    </xf>
    <xf numFmtId="0" fontId="0" fillId="0" borderId="37" xfId="0" applyFill="1" applyBorder="1"/>
    <xf numFmtId="0" fontId="0" fillId="0" borderId="38" xfId="0" applyFill="1" applyBorder="1"/>
    <xf numFmtId="9" fontId="0" fillId="0" borderId="15" xfId="1" applyFont="1" applyBorder="1"/>
    <xf numFmtId="168" fontId="0" fillId="0" borderId="5" xfId="1" applyNumberFormat="1" applyFont="1" applyBorder="1"/>
    <xf numFmtId="9" fontId="0" fillId="0" borderId="16" xfId="1" applyFont="1" applyBorder="1"/>
    <xf numFmtId="9" fontId="0" fillId="0" borderId="68" xfId="1" applyFont="1" applyBorder="1"/>
    <xf numFmtId="168" fontId="0" fillId="0" borderId="0" xfId="1" applyNumberFormat="1" applyFont="1" applyBorder="1"/>
    <xf numFmtId="9" fontId="0" fillId="0" borderId="37" xfId="1" applyFont="1" applyBorder="1"/>
    <xf numFmtId="9" fontId="0" fillId="0" borderId="84" xfId="1" applyFont="1" applyBorder="1"/>
    <xf numFmtId="168" fontId="0" fillId="0" borderId="41" xfId="1" applyNumberFormat="1" applyFont="1" applyBorder="1"/>
    <xf numFmtId="9" fontId="0" fillId="0" borderId="38" xfId="1" applyFont="1" applyBorder="1"/>
    <xf numFmtId="0" fontId="2" fillId="9" borderId="17" xfId="0" applyFont="1" applyFill="1" applyBorder="1" applyAlignment="1">
      <alignment horizontal="center"/>
    </xf>
    <xf numFmtId="9" fontId="0" fillId="0" borderId="15" xfId="1" applyNumberFormat="1" applyFont="1" applyBorder="1"/>
    <xf numFmtId="9" fontId="0" fillId="0" borderId="68" xfId="1" applyNumberFormat="1" applyFont="1" applyBorder="1"/>
    <xf numFmtId="9" fontId="0" fillId="0" borderId="84" xfId="1" applyNumberFormat="1" applyFont="1" applyBorder="1"/>
    <xf numFmtId="9" fontId="0" fillId="0" borderId="0" xfId="1" applyNumberFormat="1" applyFont="1" applyBorder="1"/>
    <xf numFmtId="0" fontId="21" fillId="0" borderId="0" xfId="0" applyFont="1" applyAlignment="1">
      <alignment vertical="top" wrapText="1"/>
    </xf>
    <xf numFmtId="0" fontId="0" fillId="0" borderId="0" xfId="0" applyAlignment="1">
      <alignment vertical="top"/>
    </xf>
    <xf numFmtId="0" fontId="0" fillId="0" borderId="0" xfId="0" applyAlignment="1">
      <alignment vertical="top" wrapText="1"/>
    </xf>
    <xf numFmtId="0" fontId="22" fillId="0" borderId="0" xfId="0" applyFont="1" applyAlignment="1">
      <alignment vertical="top" wrapText="1"/>
    </xf>
    <xf numFmtId="0" fontId="22" fillId="0" borderId="0" xfId="0" applyFont="1" applyAlignment="1">
      <alignment vertical="top"/>
    </xf>
    <xf numFmtId="0" fontId="23" fillId="0" borderId="0" xfId="0" applyFont="1" applyAlignment="1">
      <alignment vertical="top" wrapText="1"/>
    </xf>
    <xf numFmtId="0" fontId="23" fillId="0" borderId="0" xfId="0" applyFont="1" applyAlignment="1">
      <alignment vertical="top"/>
    </xf>
    <xf numFmtId="0" fontId="12" fillId="34" borderId="0" xfId="0" applyFont="1" applyFill="1" applyBorder="1" applyAlignment="1">
      <alignment horizontal="center" wrapText="1"/>
    </xf>
    <xf numFmtId="0" fontId="24" fillId="0" borderId="0" xfId="0" applyFont="1" applyFill="1" applyBorder="1" applyAlignment="1">
      <alignment horizontal="center" wrapText="1"/>
    </xf>
    <xf numFmtId="166" fontId="24" fillId="0" borderId="0" xfId="0" applyNumberFormat="1" applyFont="1" applyFill="1" applyBorder="1" applyAlignment="1">
      <alignment horizontal="center"/>
    </xf>
    <xf numFmtId="0" fontId="24" fillId="0" borderId="56" xfId="0" applyFont="1" applyFill="1" applyBorder="1" applyAlignment="1">
      <alignment horizontal="center" wrapText="1"/>
    </xf>
    <xf numFmtId="166" fontId="24" fillId="0" borderId="56" xfId="0" applyNumberFormat="1" applyFont="1" applyFill="1" applyBorder="1" applyAlignment="1">
      <alignment horizontal="center"/>
    </xf>
    <xf numFmtId="166" fontId="24" fillId="0" borderId="29" xfId="0" applyNumberFormat="1" applyFont="1" applyFill="1" applyBorder="1" applyAlignment="1">
      <alignment horizontal="center"/>
    </xf>
    <xf numFmtId="166" fontId="24" fillId="0" borderId="30" xfId="0" applyNumberFormat="1" applyFont="1" applyFill="1" applyBorder="1" applyAlignment="1">
      <alignment horizontal="center"/>
    </xf>
    <xf numFmtId="0" fontId="0" fillId="35" borderId="11" xfId="0" applyFill="1" applyBorder="1" applyAlignment="1">
      <alignment horizontal="center"/>
    </xf>
    <xf numFmtId="0" fontId="0" fillId="0" borderId="11" xfId="0" applyBorder="1" applyAlignment="1">
      <alignment horizontal="center"/>
    </xf>
    <xf numFmtId="0" fontId="0" fillId="33" borderId="11" xfId="0" applyFill="1" applyBorder="1" applyAlignment="1">
      <alignment horizontal="center"/>
    </xf>
    <xf numFmtId="49" fontId="0" fillId="33" borderId="11" xfId="0" applyNumberFormat="1" applyFill="1" applyBorder="1" applyAlignment="1">
      <alignment horizontal="center"/>
    </xf>
    <xf numFmtId="0" fontId="2" fillId="35" borderId="1" xfId="0" applyFont="1" applyFill="1" applyBorder="1" applyAlignment="1">
      <alignment horizontal="center"/>
    </xf>
    <xf numFmtId="0" fontId="2" fillId="4" borderId="8" xfId="0" applyFont="1" applyFill="1" applyBorder="1" applyAlignment="1"/>
    <xf numFmtId="0" fontId="2" fillId="4" borderId="7" xfId="0" applyFont="1" applyFill="1" applyBorder="1" applyAlignment="1"/>
    <xf numFmtId="0" fontId="2" fillId="9" borderId="8" xfId="0" applyFont="1" applyFill="1" applyBorder="1" applyAlignment="1"/>
    <xf numFmtId="0" fontId="2" fillId="9" borderId="6" xfId="0" applyFont="1" applyFill="1" applyBorder="1" applyAlignment="1"/>
    <xf numFmtId="0" fontId="2" fillId="9" borderId="7" xfId="0" applyFont="1" applyFill="1" applyBorder="1" applyAlignment="1"/>
    <xf numFmtId="0" fontId="2" fillId="10" borderId="8" xfId="0" applyFont="1" applyFill="1" applyBorder="1" applyAlignment="1"/>
    <xf numFmtId="0" fontId="2" fillId="10" borderId="6" xfId="0" applyFont="1" applyFill="1" applyBorder="1" applyAlignment="1"/>
    <xf numFmtId="0" fontId="2" fillId="10" borderId="7" xfId="0" applyFont="1" applyFill="1" applyBorder="1" applyAlignment="1"/>
    <xf numFmtId="0" fontId="2" fillId="15" borderId="8" xfId="0" applyFont="1" applyFill="1" applyBorder="1" applyAlignment="1"/>
    <xf numFmtId="0" fontId="2" fillId="15" borderId="6" xfId="0" applyFont="1" applyFill="1" applyBorder="1" applyAlignment="1"/>
    <xf numFmtId="0" fontId="2" fillId="15" borderId="7" xfId="0" applyFont="1" applyFill="1" applyBorder="1" applyAlignment="1"/>
    <xf numFmtId="0" fontId="2" fillId="35" borderId="14" xfId="0" applyFont="1" applyFill="1" applyBorder="1" applyAlignment="1">
      <alignment horizontal="center"/>
    </xf>
    <xf numFmtId="0" fontId="2" fillId="35" borderId="11" xfId="0" applyFont="1" applyFill="1" applyBorder="1" applyAlignment="1">
      <alignment horizontal="center"/>
    </xf>
    <xf numFmtId="0" fontId="2" fillId="35" borderId="13" xfId="0" applyFont="1" applyFill="1" applyBorder="1" applyAlignment="1">
      <alignment horizontal="center"/>
    </xf>
    <xf numFmtId="0" fontId="2" fillId="4" borderId="14" xfId="0" applyFont="1" applyFill="1" applyBorder="1" applyAlignment="1">
      <alignment horizontal="center"/>
    </xf>
    <xf numFmtId="0" fontId="2" fillId="4" borderId="11" xfId="0" applyFont="1" applyFill="1" applyBorder="1" applyAlignment="1">
      <alignment horizontal="center"/>
    </xf>
    <xf numFmtId="0" fontId="2" fillId="4" borderId="13" xfId="0" applyFont="1" applyFill="1" applyBorder="1" applyAlignment="1">
      <alignment horizontal="center"/>
    </xf>
    <xf numFmtId="0" fontId="2" fillId="9" borderId="9" xfId="0" applyFont="1" applyFill="1" applyBorder="1" applyAlignment="1">
      <alignment horizontal="center"/>
    </xf>
    <xf numFmtId="0" fontId="2" fillId="10" borderId="14" xfId="0" applyFont="1" applyFill="1" applyBorder="1" applyAlignment="1">
      <alignment horizontal="center"/>
    </xf>
    <xf numFmtId="0" fontId="2" fillId="10" borderId="11" xfId="0" applyFont="1" applyFill="1" applyBorder="1" applyAlignment="1">
      <alignment horizontal="center"/>
    </xf>
    <xf numFmtId="0" fontId="2" fillId="10" borderId="13" xfId="0" applyFont="1" applyFill="1" applyBorder="1" applyAlignment="1">
      <alignment horizontal="center"/>
    </xf>
    <xf numFmtId="0" fontId="2" fillId="15" borderId="14" xfId="0" applyFont="1" applyFill="1" applyBorder="1" applyAlignment="1">
      <alignment horizontal="center"/>
    </xf>
    <xf numFmtId="0" fontId="2" fillId="15" borderId="11" xfId="0" applyFont="1" applyFill="1" applyBorder="1" applyAlignment="1">
      <alignment horizontal="center"/>
    </xf>
    <xf numFmtId="0" fontId="2" fillId="15" borderId="13" xfId="0" applyFont="1" applyFill="1" applyBorder="1" applyAlignment="1">
      <alignment horizontal="center"/>
    </xf>
    <xf numFmtId="0" fontId="2" fillId="6" borderId="9" xfId="0" applyFont="1" applyFill="1" applyBorder="1" applyAlignment="1">
      <alignment horizontal="center"/>
    </xf>
    <xf numFmtId="0" fontId="2" fillId="6" borderId="11" xfId="0" applyFont="1" applyFill="1" applyBorder="1" applyAlignment="1">
      <alignment horizontal="center"/>
    </xf>
    <xf numFmtId="0" fontId="2" fillId="8" borderId="9" xfId="0" applyFont="1" applyFill="1" applyBorder="1" applyAlignment="1">
      <alignment horizontal="center"/>
    </xf>
    <xf numFmtId="0" fontId="2" fillId="8" borderId="11" xfId="0" applyFont="1" applyFill="1" applyBorder="1" applyAlignment="1">
      <alignment horizontal="center"/>
    </xf>
    <xf numFmtId="0" fontId="2" fillId="8" borderId="1" xfId="0" applyFont="1" applyFill="1" applyBorder="1" applyAlignment="1">
      <alignment horizontal="center"/>
    </xf>
    <xf numFmtId="0" fontId="0" fillId="0" borderId="14" xfId="0" applyBorder="1" applyAlignment="1">
      <alignment horizontal="center"/>
    </xf>
    <xf numFmtId="0" fontId="0" fillId="0" borderId="13" xfId="0" applyBorder="1" applyAlignment="1">
      <alignment horizontal="center"/>
    </xf>
    <xf numFmtId="0" fontId="0" fillId="0" borderId="9" xfId="0" applyBorder="1" applyAlignment="1">
      <alignment horizontal="center"/>
    </xf>
    <xf numFmtId="3" fontId="0" fillId="0" borderId="11" xfId="0" applyNumberFormat="1" applyBorder="1" applyAlignment="1">
      <alignment horizontal="center"/>
    </xf>
    <xf numFmtId="3" fontId="0" fillId="0" borderId="1" xfId="0" applyNumberFormat="1" applyBorder="1" applyAlignment="1">
      <alignment horizontal="center"/>
    </xf>
    <xf numFmtId="166" fontId="14" fillId="0" borderId="14" xfId="4" quotePrefix="1" applyNumberFormat="1" applyFont="1" applyBorder="1" applyAlignment="1">
      <alignment horizontal="center" vertical="center"/>
    </xf>
    <xf numFmtId="166" fontId="14" fillId="0" borderId="11" xfId="4" quotePrefix="1" applyNumberFormat="1" applyFont="1" applyBorder="1" applyAlignment="1">
      <alignment horizontal="center" vertical="center"/>
    </xf>
    <xf numFmtId="1" fontId="14" fillId="0" borderId="11" xfId="5" quotePrefix="1" applyNumberFormat="1" applyFont="1" applyBorder="1" applyAlignment="1">
      <alignment horizontal="center" vertical="center"/>
    </xf>
    <xf numFmtId="166" fontId="14" fillId="0" borderId="11" xfId="5" quotePrefix="1" applyNumberFormat="1" applyFont="1" applyBorder="1" applyAlignment="1">
      <alignment horizontal="center" vertical="center"/>
    </xf>
    <xf numFmtId="1" fontId="14" fillId="0" borderId="13" xfId="5" applyNumberFormat="1" applyFont="1" applyFill="1" applyBorder="1" applyAlignment="1">
      <alignment horizontal="center" vertical="center"/>
    </xf>
    <xf numFmtId="166" fontId="14" fillId="0" borderId="9" xfId="4" quotePrefix="1" applyNumberFormat="1" applyFont="1" applyBorder="1" applyAlignment="1">
      <alignment horizontal="center" vertical="center"/>
    </xf>
    <xf numFmtId="1" fontId="14" fillId="0" borderId="1" xfId="5" quotePrefix="1" applyNumberFormat="1" applyFont="1" applyBorder="1" applyAlignment="1">
      <alignment horizontal="center" vertical="center"/>
    </xf>
    <xf numFmtId="166" fontId="14" fillId="0" borderId="14" xfId="6" quotePrefix="1" applyNumberFormat="1" applyFont="1" applyBorder="1" applyAlignment="1">
      <alignment horizontal="center" vertical="center"/>
    </xf>
    <xf numFmtId="166" fontId="14" fillId="0" borderId="11" xfId="6" quotePrefix="1" applyNumberFormat="1" applyFont="1" applyBorder="1" applyAlignment="1">
      <alignment horizontal="center" vertical="center"/>
    </xf>
    <xf numFmtId="1" fontId="14" fillId="0" borderId="13" xfId="5" quotePrefix="1" applyNumberFormat="1" applyFont="1" applyBorder="1" applyAlignment="1">
      <alignment horizontal="center" vertical="center"/>
    </xf>
    <xf numFmtId="166" fontId="0" fillId="0" borderId="11" xfId="0" applyNumberFormat="1" applyBorder="1" applyAlignment="1">
      <alignment horizontal="center"/>
    </xf>
    <xf numFmtId="166" fontId="14" fillId="0" borderId="14" xfId="6" applyNumberFormat="1" applyFont="1" applyBorder="1" applyAlignment="1">
      <alignment horizontal="center" vertical="center"/>
    </xf>
    <xf numFmtId="166" fontId="14" fillId="0" borderId="11" xfId="6" applyNumberFormat="1" applyFont="1" applyBorder="1" applyAlignment="1">
      <alignment horizontal="center" vertical="center"/>
    </xf>
    <xf numFmtId="1" fontId="14" fillId="0" borderId="11" xfId="5" applyNumberFormat="1" applyFont="1" applyBorder="1" applyAlignment="1">
      <alignment horizontal="center" vertical="center"/>
    </xf>
    <xf numFmtId="1" fontId="14" fillId="0" borderId="13" xfId="5" applyNumberFormat="1" applyFont="1" applyBorder="1" applyAlignment="1">
      <alignment horizontal="center" vertical="center"/>
    </xf>
    <xf numFmtId="166" fontId="14" fillId="0" borderId="9" xfId="4" applyNumberFormat="1" applyFont="1" applyBorder="1" applyAlignment="1">
      <alignment horizontal="center" vertical="center"/>
    </xf>
    <xf numFmtId="166" fontId="14" fillId="0" borderId="11" xfId="4" applyNumberFormat="1" applyFont="1" applyBorder="1" applyAlignment="1">
      <alignment horizontal="center" vertical="center"/>
    </xf>
    <xf numFmtId="1" fontId="14" fillId="0" borderId="1" xfId="5" applyNumberFormat="1" applyFont="1" applyBorder="1" applyAlignment="1">
      <alignment horizontal="center" vertical="center"/>
    </xf>
    <xf numFmtId="166" fontId="0" fillId="0" borderId="14" xfId="0" applyNumberFormat="1" applyFont="1" applyBorder="1" applyAlignment="1">
      <alignment horizontal="center" vertical="center"/>
    </xf>
    <xf numFmtId="1" fontId="0" fillId="0" borderId="13" xfId="0" applyNumberFormat="1" applyFont="1" applyBorder="1" applyAlignment="1">
      <alignment horizontal="center" vertical="center"/>
    </xf>
    <xf numFmtId="166" fontId="14" fillId="0" borderId="9" xfId="4" quotePrefix="1" applyNumberFormat="1" applyFont="1" applyFill="1" applyBorder="1" applyAlignment="1">
      <alignment horizontal="center" vertical="center"/>
    </xf>
    <xf numFmtId="166" fontId="14" fillId="0" borderId="11" xfId="4" quotePrefix="1" applyNumberFormat="1" applyFont="1" applyFill="1" applyBorder="1" applyAlignment="1">
      <alignment horizontal="center" vertical="center"/>
    </xf>
    <xf numFmtId="1" fontId="14" fillId="0" borderId="11" xfId="5" quotePrefix="1" applyNumberFormat="1" applyFont="1" applyFill="1" applyBorder="1" applyAlignment="1">
      <alignment horizontal="center" vertical="center"/>
    </xf>
    <xf numFmtId="1" fontId="14" fillId="0" borderId="1" xfId="5" quotePrefix="1" applyNumberFormat="1" applyFont="1" applyFill="1" applyBorder="1" applyAlignment="1">
      <alignment horizontal="center" vertical="center"/>
    </xf>
    <xf numFmtId="166" fontId="14" fillId="0" borderId="14" xfId="4" applyNumberFormat="1" applyFont="1" applyBorder="1" applyAlignment="1">
      <alignment horizontal="center" vertical="center"/>
    </xf>
    <xf numFmtId="0" fontId="3" fillId="4" borderId="129" xfId="0" applyFont="1" applyFill="1" applyBorder="1" applyAlignment="1"/>
    <xf numFmtId="0" fontId="3" fillId="4" borderId="130" xfId="0" applyFont="1" applyFill="1" applyBorder="1" applyAlignment="1"/>
    <xf numFmtId="0" fontId="3" fillId="4" borderId="131" xfId="0" applyFont="1" applyFill="1" applyBorder="1" applyAlignment="1"/>
    <xf numFmtId="0" fontId="3" fillId="9" borderId="129" xfId="0" applyFont="1" applyFill="1" applyBorder="1" applyAlignment="1"/>
    <xf numFmtId="0" fontId="3" fillId="9" borderId="130" xfId="0" applyFont="1" applyFill="1" applyBorder="1" applyAlignment="1"/>
    <xf numFmtId="0" fontId="3" fillId="9" borderId="131" xfId="0" applyFont="1" applyFill="1" applyBorder="1" applyAlignment="1"/>
    <xf numFmtId="0" fontId="3" fillId="10" borderId="129" xfId="0" applyFont="1" applyFill="1" applyBorder="1" applyAlignment="1"/>
    <xf numFmtId="0" fontId="3" fillId="10" borderId="130" xfId="0" applyFont="1" applyFill="1" applyBorder="1" applyAlignment="1"/>
    <xf numFmtId="0" fontId="3" fillId="10" borderId="131" xfId="0" applyFont="1" applyFill="1" applyBorder="1" applyAlignment="1"/>
    <xf numFmtId="0" fontId="3" fillId="15" borderId="129" xfId="0" applyFont="1" applyFill="1" applyBorder="1" applyAlignment="1"/>
    <xf numFmtId="0" fontId="3" fillId="15" borderId="130" xfId="0" applyFont="1" applyFill="1" applyBorder="1" applyAlignment="1"/>
    <xf numFmtId="0" fontId="3" fillId="15" borderId="131" xfId="0" applyFont="1" applyFill="1" applyBorder="1" applyAlignment="1"/>
    <xf numFmtId="0" fontId="3" fillId="6" borderId="129" xfId="0" applyFont="1" applyFill="1" applyBorder="1" applyAlignment="1"/>
    <xf numFmtId="0" fontId="3" fillId="6" borderId="130" xfId="0" applyFont="1" applyFill="1" applyBorder="1" applyAlignment="1"/>
    <xf numFmtId="0" fontId="3" fillId="6" borderId="131" xfId="0" applyFont="1" applyFill="1" applyBorder="1" applyAlignment="1"/>
    <xf numFmtId="0" fontId="3" fillId="8" borderId="132" xfId="0" applyFont="1" applyFill="1" applyBorder="1" applyAlignment="1"/>
    <xf numFmtId="0" fontId="3" fillId="8" borderId="86" xfId="0" applyFont="1" applyFill="1" applyBorder="1" applyAlignment="1"/>
    <xf numFmtId="0" fontId="2" fillId="4" borderId="133" xfId="0" applyFont="1" applyFill="1" applyBorder="1" applyAlignment="1">
      <alignment horizontal="center"/>
    </xf>
    <xf numFmtId="0" fontId="2" fillId="4" borderId="85" xfId="0" applyFont="1" applyFill="1" applyBorder="1" applyAlignment="1">
      <alignment horizontal="center"/>
    </xf>
    <xf numFmtId="0" fontId="2" fillId="4" borderId="134" xfId="0" applyFont="1" applyFill="1" applyBorder="1" applyAlignment="1">
      <alignment horizontal="center"/>
    </xf>
    <xf numFmtId="0" fontId="2" fillId="4" borderId="84" xfId="0" applyFont="1" applyFill="1" applyBorder="1" applyAlignment="1">
      <alignment horizontal="center"/>
    </xf>
    <xf numFmtId="0" fontId="2" fillId="9" borderId="38" xfId="0" applyFont="1" applyFill="1" applyBorder="1" applyAlignment="1">
      <alignment horizontal="center"/>
    </xf>
    <xf numFmtId="0" fontId="2" fillId="9" borderId="85" xfId="0" applyFont="1" applyFill="1" applyBorder="1" applyAlignment="1">
      <alignment horizontal="center"/>
    </xf>
    <xf numFmtId="0" fontId="2" fillId="9" borderId="84" xfId="0" applyFont="1" applyFill="1" applyBorder="1" applyAlignment="1">
      <alignment horizontal="center"/>
    </xf>
    <xf numFmtId="0" fontId="2" fillId="9" borderId="135" xfId="0" applyFont="1" applyFill="1" applyBorder="1" applyAlignment="1">
      <alignment horizontal="center"/>
    </xf>
    <xf numFmtId="0" fontId="2" fillId="9" borderId="136" xfId="0" applyFont="1" applyFill="1" applyBorder="1" applyAlignment="1">
      <alignment horizontal="center"/>
    </xf>
    <xf numFmtId="0" fontId="2" fillId="9" borderId="137" xfId="0" applyFont="1" applyFill="1" applyBorder="1" applyAlignment="1">
      <alignment horizontal="center"/>
    </xf>
    <xf numFmtId="0" fontId="2" fillId="10" borderId="38" xfId="0" applyFont="1" applyFill="1" applyBorder="1" applyAlignment="1">
      <alignment horizontal="center"/>
    </xf>
    <xf numFmtId="0" fontId="2" fillId="10" borderId="85" xfId="0" applyFont="1" applyFill="1" applyBorder="1" applyAlignment="1">
      <alignment horizontal="center"/>
    </xf>
    <xf numFmtId="0" fontId="2" fillId="10" borderId="84" xfId="0" applyFont="1" applyFill="1" applyBorder="1" applyAlignment="1">
      <alignment horizontal="center"/>
    </xf>
    <xf numFmtId="0" fontId="2" fillId="10" borderId="135" xfId="0" applyFont="1" applyFill="1" applyBorder="1" applyAlignment="1">
      <alignment horizontal="center"/>
    </xf>
    <xf numFmtId="0" fontId="2" fillId="10" borderId="136" xfId="0" applyFont="1" applyFill="1" applyBorder="1" applyAlignment="1">
      <alignment horizontal="center"/>
    </xf>
    <xf numFmtId="0" fontId="2" fillId="10" borderId="137" xfId="0" applyFont="1" applyFill="1" applyBorder="1" applyAlignment="1">
      <alignment horizontal="center"/>
    </xf>
    <xf numFmtId="0" fontId="2" fillId="15" borderId="38" xfId="0" applyFont="1" applyFill="1" applyBorder="1" applyAlignment="1">
      <alignment horizontal="center"/>
    </xf>
    <xf numFmtId="0" fontId="2" fillId="15" borderId="85" xfId="0" applyFont="1" applyFill="1" applyBorder="1" applyAlignment="1">
      <alignment horizontal="center"/>
    </xf>
    <xf numFmtId="0" fontId="2" fillId="15" borderId="84" xfId="0" applyFont="1" applyFill="1" applyBorder="1" applyAlignment="1">
      <alignment horizontal="center"/>
    </xf>
    <xf numFmtId="0" fontId="2" fillId="15" borderId="135" xfId="0" applyFont="1" applyFill="1" applyBorder="1" applyAlignment="1">
      <alignment horizontal="center"/>
    </xf>
    <xf numFmtId="0" fontId="2" fillId="15" borderId="136" xfId="0" applyFont="1" applyFill="1" applyBorder="1" applyAlignment="1">
      <alignment horizontal="center"/>
    </xf>
    <xf numFmtId="0" fontId="2" fillId="15" borderId="137" xfId="0" applyFont="1" applyFill="1" applyBorder="1" applyAlignment="1">
      <alignment horizontal="center"/>
    </xf>
    <xf numFmtId="0" fontId="2" fillId="6" borderId="38" xfId="0" applyFont="1" applyFill="1" applyBorder="1" applyAlignment="1">
      <alignment horizontal="center"/>
    </xf>
    <xf numFmtId="0" fontId="2" fillId="6" borderId="85" xfId="0" applyFont="1" applyFill="1" applyBorder="1" applyAlignment="1">
      <alignment horizontal="center"/>
    </xf>
    <xf numFmtId="0" fontId="2" fillId="6" borderId="84" xfId="0" applyFont="1" applyFill="1" applyBorder="1" applyAlignment="1">
      <alignment horizontal="center"/>
    </xf>
    <xf numFmtId="0" fontId="2" fillId="6" borderId="135" xfId="0" applyFont="1" applyFill="1" applyBorder="1" applyAlignment="1">
      <alignment horizontal="center"/>
    </xf>
    <xf numFmtId="0" fontId="2" fillId="6" borderId="136" xfId="0" applyFont="1" applyFill="1" applyBorder="1" applyAlignment="1">
      <alignment horizontal="center"/>
    </xf>
    <xf numFmtId="0" fontId="2" fillId="6" borderId="137" xfId="0" applyFont="1" applyFill="1" applyBorder="1" applyAlignment="1">
      <alignment horizontal="center"/>
    </xf>
    <xf numFmtId="0" fontId="2" fillId="8" borderId="38" xfId="0" applyFont="1" applyFill="1" applyBorder="1" applyAlignment="1">
      <alignment horizontal="center"/>
    </xf>
    <xf numFmtId="0" fontId="2" fillId="8" borderId="85" xfId="0" applyFont="1" applyFill="1" applyBorder="1" applyAlignment="1">
      <alignment horizontal="center"/>
    </xf>
    <xf numFmtId="0" fontId="2" fillId="8" borderId="84" xfId="0" applyFont="1" applyFill="1" applyBorder="1" applyAlignment="1">
      <alignment horizontal="center"/>
    </xf>
    <xf numFmtId="0" fontId="2" fillId="8" borderId="135" xfId="0" applyFont="1" applyFill="1" applyBorder="1" applyAlignment="1">
      <alignment horizontal="center"/>
    </xf>
    <xf numFmtId="0" fontId="2" fillId="8" borderId="136" xfId="0" applyFont="1" applyFill="1" applyBorder="1" applyAlignment="1">
      <alignment horizontal="center"/>
    </xf>
    <xf numFmtId="0" fontId="2" fillId="8" borderId="137" xfId="0" applyFont="1" applyFill="1" applyBorder="1" applyAlignment="1">
      <alignment horizontal="center"/>
    </xf>
    <xf numFmtId="2" fontId="0" fillId="6" borderId="1" xfId="0" applyNumberFormat="1" applyFill="1" applyBorder="1" applyAlignment="1">
      <alignment horizontal="center"/>
    </xf>
    <xf numFmtId="0" fontId="17" fillId="0" borderId="138" xfId="0" applyFont="1" applyBorder="1" applyAlignment="1">
      <alignment horizontal="center" vertical="center"/>
    </xf>
    <xf numFmtId="0" fontId="17" fillId="0" borderId="67" xfId="0" applyFont="1" applyBorder="1" applyAlignment="1">
      <alignment horizontal="center" vertical="center" wrapText="1"/>
    </xf>
    <xf numFmtId="0" fontId="17" fillId="0" borderId="0" xfId="0" applyFont="1" applyAlignment="1">
      <alignment vertical="center"/>
    </xf>
    <xf numFmtId="0" fontId="17" fillId="0" borderId="85" xfId="0" applyFont="1" applyBorder="1" applyAlignment="1">
      <alignment horizontal="center" vertical="center"/>
    </xf>
    <xf numFmtId="0" fontId="17" fillId="0" borderId="0" xfId="0" applyFont="1" applyAlignment="1">
      <alignment horizontal="center" vertical="center"/>
    </xf>
    <xf numFmtId="0" fontId="17" fillId="0" borderId="38" xfId="0" applyFont="1" applyBorder="1" applyAlignment="1">
      <alignment vertical="center" wrapText="1"/>
    </xf>
    <xf numFmtId="0" fontId="17" fillId="0" borderId="0" xfId="0" applyFont="1" applyAlignment="1">
      <alignment vertical="center" wrapText="1"/>
    </xf>
    <xf numFmtId="0" fontId="17" fillId="0" borderId="84" xfId="0" applyFont="1" applyBorder="1" applyAlignment="1">
      <alignment horizontal="center" vertical="center"/>
    </xf>
    <xf numFmtId="0" fontId="17" fillId="0" borderId="1" xfId="0" applyFont="1" applyBorder="1" applyAlignment="1">
      <alignment horizontal="center" vertical="center"/>
    </xf>
    <xf numFmtId="0" fontId="17" fillId="0" borderId="1" xfId="0" applyFont="1" applyBorder="1" applyAlignment="1">
      <alignment horizontal="center" vertical="center" wrapText="1"/>
    </xf>
    <xf numFmtId="0" fontId="17" fillId="0" borderId="0" xfId="0" applyFont="1" applyAlignment="1">
      <alignment horizontal="center" vertical="center" wrapText="1"/>
    </xf>
    <xf numFmtId="0" fontId="20" fillId="0" borderId="57" xfId="0" applyFont="1" applyBorder="1" applyAlignment="1">
      <alignment horizontal="center" vertical="center" wrapText="1"/>
    </xf>
    <xf numFmtId="0" fontId="17" fillId="0" borderId="0" xfId="0" applyFont="1" applyBorder="1" applyAlignment="1">
      <alignment vertical="center"/>
    </xf>
    <xf numFmtId="0" fontId="17" fillId="36" borderId="0" xfId="0" applyFont="1" applyFill="1" applyAlignment="1">
      <alignment vertical="center"/>
    </xf>
    <xf numFmtId="0" fontId="20" fillId="0" borderId="0" xfId="2" applyFont="1" applyAlignment="1" applyProtection="1">
      <alignment vertical="center"/>
      <protection locked="0"/>
    </xf>
    <xf numFmtId="0" fontId="15" fillId="0" borderId="0" xfId="2" applyFont="1" applyAlignment="1" applyProtection="1">
      <alignment vertical="center"/>
      <protection locked="0"/>
    </xf>
    <xf numFmtId="0" fontId="16" fillId="0" borderId="0" xfId="0" applyFont="1" applyAlignment="1">
      <alignment vertical="center"/>
    </xf>
    <xf numFmtId="0" fontId="15" fillId="0" borderId="0" xfId="2" applyFont="1" applyFill="1" applyBorder="1" applyAlignment="1" applyProtection="1">
      <alignment vertical="center"/>
      <protection locked="0"/>
    </xf>
    <xf numFmtId="0" fontId="16" fillId="0" borderId="0" xfId="0" applyFont="1" applyAlignment="1">
      <alignment horizontal="center" vertical="center"/>
    </xf>
    <xf numFmtId="0" fontId="16" fillId="0" borderId="0" xfId="0" applyFont="1" applyFill="1" applyBorder="1" applyAlignment="1">
      <alignment vertical="center"/>
    </xf>
    <xf numFmtId="0" fontId="20" fillId="0" borderId="11" xfId="0" applyFont="1" applyBorder="1" applyAlignment="1">
      <alignment horizontal="center" vertical="center"/>
    </xf>
    <xf numFmtId="0" fontId="17" fillId="34" borderId="11" xfId="0" applyFont="1" applyFill="1" applyBorder="1" applyAlignment="1">
      <alignment horizontal="center" vertical="center"/>
    </xf>
    <xf numFmtId="0" fontId="17" fillId="34" borderId="1" xfId="0" applyFont="1" applyFill="1" applyBorder="1" applyAlignment="1">
      <alignment horizontal="center" vertical="center"/>
    </xf>
    <xf numFmtId="0" fontId="17" fillId="34" borderId="1" xfId="0" applyFont="1" applyFill="1" applyBorder="1" applyAlignment="1">
      <alignment horizontal="center" vertical="center" wrapText="1"/>
    </xf>
    <xf numFmtId="0" fontId="17" fillId="0" borderId="11" xfId="0" applyFont="1" applyFill="1" applyBorder="1" applyAlignment="1">
      <alignment horizontal="center" vertical="center"/>
    </xf>
    <xf numFmtId="0" fontId="17" fillId="0" borderId="1" xfId="0" applyFont="1" applyFill="1" applyBorder="1" applyAlignment="1">
      <alignment horizontal="center" vertical="center"/>
    </xf>
    <xf numFmtId="0" fontId="17" fillId="0" borderId="1" xfId="0" applyFont="1" applyFill="1" applyBorder="1" applyAlignment="1">
      <alignment horizontal="center" vertical="center" wrapText="1"/>
    </xf>
    <xf numFmtId="0" fontId="17" fillId="0" borderId="0" xfId="0" applyFont="1"/>
    <xf numFmtId="0" fontId="20" fillId="0" borderId="0" xfId="0" applyFont="1" applyAlignment="1">
      <alignment vertical="center"/>
    </xf>
    <xf numFmtId="0" fontId="20" fillId="0" borderId="68" xfId="0" applyFont="1" applyBorder="1" applyAlignment="1">
      <alignment vertical="center"/>
    </xf>
    <xf numFmtId="0" fontId="20" fillId="0" borderId="0" xfId="0" applyFont="1" applyBorder="1" applyAlignment="1">
      <alignment vertical="center"/>
    </xf>
    <xf numFmtId="0" fontId="27" fillId="0" borderId="0" xfId="0" applyFont="1" applyBorder="1" applyAlignment="1">
      <alignment vertical="center" wrapText="1"/>
    </xf>
    <xf numFmtId="0" fontId="17" fillId="0" borderId="37" xfId="0" applyFont="1" applyBorder="1" applyAlignment="1">
      <alignment vertical="center"/>
    </xf>
    <xf numFmtId="0" fontId="17" fillId="0" borderId="68" xfId="0" applyFont="1" applyBorder="1" applyAlignment="1">
      <alignment vertical="center"/>
    </xf>
    <xf numFmtId="0" fontId="20" fillId="0" borderId="83" xfId="0" applyFont="1" applyBorder="1" applyAlignment="1">
      <alignment vertical="center"/>
    </xf>
    <xf numFmtId="0" fontId="27" fillId="0" borderId="83" xfId="0" quotePrefix="1" applyFont="1" applyBorder="1" applyAlignment="1">
      <alignment vertical="center" wrapText="1"/>
    </xf>
    <xf numFmtId="0" fontId="17" fillId="0" borderId="83" xfId="0" applyFont="1" applyBorder="1" applyAlignment="1">
      <alignment vertical="center"/>
    </xf>
    <xf numFmtId="0" fontId="27" fillId="0" borderId="68" xfId="0" applyFont="1" applyBorder="1" applyAlignment="1">
      <alignment vertical="center"/>
    </xf>
    <xf numFmtId="0" fontId="27" fillId="0" borderId="0" xfId="0" applyFont="1" applyBorder="1" applyAlignment="1">
      <alignment vertical="center"/>
    </xf>
    <xf numFmtId="0" fontId="27" fillId="0" borderId="37" xfId="0" applyFont="1" applyBorder="1" applyAlignment="1">
      <alignment vertical="center"/>
    </xf>
    <xf numFmtId="0" fontId="17" fillId="0" borderId="68" xfId="0" applyFont="1" applyBorder="1" applyAlignment="1">
      <alignment vertical="center" wrapText="1"/>
    </xf>
    <xf numFmtId="0" fontId="17" fillId="34" borderId="0" xfId="0" applyFont="1" applyFill="1" applyBorder="1" applyAlignment="1">
      <alignment vertical="center" wrapText="1"/>
    </xf>
    <xf numFmtId="0" fontId="17" fillId="0" borderId="68" xfId="0" quotePrefix="1" applyFont="1" applyBorder="1" applyAlignment="1">
      <alignment vertical="center"/>
    </xf>
    <xf numFmtId="0" fontId="17" fillId="0" borderId="83" xfId="0" applyFont="1" applyBorder="1" applyAlignment="1">
      <alignment vertical="center" wrapText="1"/>
    </xf>
    <xf numFmtId="0" fontId="17" fillId="0" borderId="83" xfId="0" quotePrefix="1" applyFont="1" applyBorder="1" applyAlignment="1">
      <alignment vertical="center"/>
    </xf>
    <xf numFmtId="0" fontId="20" fillId="31" borderId="0" xfId="0" applyFont="1" applyFill="1" applyBorder="1" applyAlignment="1">
      <alignment vertical="center"/>
    </xf>
    <xf numFmtId="0" fontId="17" fillId="31" borderId="0" xfId="0" applyFont="1" applyFill="1" applyAlignment="1">
      <alignment vertical="center"/>
    </xf>
    <xf numFmtId="0" fontId="20" fillId="31" borderId="0" xfId="0" applyFont="1" applyFill="1" applyAlignment="1">
      <alignment vertical="center"/>
    </xf>
    <xf numFmtId="0" fontId="27" fillId="0" borderId="68" xfId="0" quotePrefix="1" applyFont="1" applyBorder="1" applyAlignment="1">
      <alignment vertical="center"/>
    </xf>
    <xf numFmtId="0" fontId="17" fillId="0" borderId="11" xfId="0" applyFont="1" applyBorder="1" applyAlignment="1">
      <alignment vertical="center"/>
    </xf>
    <xf numFmtId="0" fontId="17" fillId="34" borderId="11" xfId="0" applyFont="1" applyFill="1" applyBorder="1" applyAlignment="1">
      <alignment vertical="center" wrapText="1"/>
    </xf>
    <xf numFmtId="0" fontId="17" fillId="0" borderId="11" xfId="0" applyFont="1" applyFill="1" applyBorder="1" applyAlignment="1">
      <alignment vertical="center" wrapText="1"/>
    </xf>
    <xf numFmtId="0" fontId="17" fillId="0" borderId="1" xfId="0" applyFont="1" applyBorder="1" applyAlignment="1">
      <alignment horizontal="left" vertical="center" wrapText="1"/>
    </xf>
    <xf numFmtId="0" fontId="17" fillId="0" borderId="85" xfId="0" applyFont="1" applyBorder="1" applyAlignment="1">
      <alignment vertical="center" wrapText="1"/>
    </xf>
    <xf numFmtId="0" fontId="17" fillId="0" borderId="85" xfId="0" applyFont="1" applyBorder="1" applyAlignment="1">
      <alignment vertical="center"/>
    </xf>
    <xf numFmtId="0" fontId="27" fillId="0" borderId="68" xfId="0" applyFont="1" applyBorder="1" applyAlignment="1">
      <alignment vertical="center" wrapText="1"/>
    </xf>
    <xf numFmtId="0" fontId="27" fillId="0" borderId="37" xfId="0" quotePrefix="1" applyFont="1" applyBorder="1" applyAlignment="1">
      <alignment vertical="center" wrapText="1"/>
    </xf>
    <xf numFmtId="0" fontId="17" fillId="0" borderId="85" xfId="0" applyFont="1" applyBorder="1" applyAlignment="1">
      <alignment horizontal="center" vertical="center" wrapText="1"/>
    </xf>
    <xf numFmtId="0" fontId="17" fillId="0" borderId="138" xfId="0" applyFont="1" applyBorder="1" applyAlignment="1">
      <alignment horizontal="center" vertical="center" wrapText="1"/>
    </xf>
    <xf numFmtId="0" fontId="17" fillId="0" borderId="0" xfId="0" applyFont="1" applyAlignment="1">
      <alignment horizontal="left" vertical="center"/>
    </xf>
    <xf numFmtId="0" fontId="17" fillId="0" borderId="68" xfId="0" applyFont="1" applyBorder="1" applyAlignment="1">
      <alignment horizontal="left" vertical="center" wrapText="1"/>
    </xf>
    <xf numFmtId="0" fontId="17" fillId="0" borderId="1" xfId="0" applyFont="1" applyBorder="1" applyAlignment="1">
      <alignment horizontal="left" vertical="center"/>
    </xf>
    <xf numFmtId="0" fontId="17" fillId="0" borderId="84" xfId="0" applyFont="1" applyBorder="1" applyAlignment="1">
      <alignment horizontal="left" vertical="center" wrapText="1"/>
    </xf>
    <xf numFmtId="0" fontId="17" fillId="34" borderId="1" xfId="0" applyFont="1" applyFill="1" applyBorder="1" applyAlignment="1">
      <alignment horizontal="left" vertical="center" wrapText="1"/>
    </xf>
    <xf numFmtId="0" fontId="17" fillId="0" borderId="1" xfId="0" applyFont="1" applyFill="1" applyBorder="1" applyAlignment="1">
      <alignment horizontal="left" vertical="center"/>
    </xf>
    <xf numFmtId="0" fontId="17" fillId="0" borderId="1" xfId="0" applyFont="1" applyFill="1" applyBorder="1" applyAlignment="1">
      <alignment horizontal="left" vertical="center" wrapText="1"/>
    </xf>
    <xf numFmtId="0" fontId="20" fillId="0" borderId="138" xfId="0" applyFont="1" applyBorder="1" applyAlignment="1">
      <alignment vertical="center" wrapText="1"/>
    </xf>
    <xf numFmtId="0" fontId="20" fillId="0" borderId="138" xfId="0" applyFont="1" applyBorder="1" applyAlignment="1">
      <alignment vertical="center"/>
    </xf>
    <xf numFmtId="0" fontId="20" fillId="0" borderId="0" xfId="2" applyFont="1" applyAlignment="1" applyProtection="1">
      <alignment vertical="center"/>
    </xf>
    <xf numFmtId="0" fontId="20" fillId="2" borderId="0" xfId="2" applyFont="1" applyFill="1" applyAlignment="1" applyProtection="1">
      <alignment vertical="center"/>
      <protection locked="0"/>
    </xf>
    <xf numFmtId="0" fontId="20" fillId="0" borderId="0" xfId="2" applyFont="1" applyFill="1" applyBorder="1" applyAlignment="1" applyProtection="1">
      <alignment horizontal="left" vertical="center"/>
    </xf>
    <xf numFmtId="0" fontId="20" fillId="0" borderId="0" xfId="2" applyFont="1" applyFill="1" applyAlignment="1" applyProtection="1">
      <alignment vertical="center"/>
      <protection locked="0"/>
    </xf>
    <xf numFmtId="0" fontId="20" fillId="0" borderId="0" xfId="2" applyFont="1" applyFill="1" applyBorder="1" applyAlignment="1" applyProtection="1">
      <alignment vertical="center"/>
    </xf>
    <xf numFmtId="166" fontId="41" fillId="19" borderId="45" xfId="0" applyNumberFormat="1" applyFont="1" applyFill="1" applyBorder="1" applyAlignment="1" applyProtection="1">
      <alignment horizontal="center" vertical="center"/>
    </xf>
    <xf numFmtId="166" fontId="41" fillId="19" borderId="48" xfId="0" applyNumberFormat="1" applyFont="1" applyFill="1" applyBorder="1" applyAlignment="1" applyProtection="1">
      <alignment horizontal="center" vertical="center"/>
    </xf>
    <xf numFmtId="166" fontId="41" fillId="19" borderId="59" xfId="0" applyNumberFormat="1" applyFont="1" applyFill="1" applyBorder="1" applyAlignment="1" applyProtection="1">
      <alignment horizontal="center" vertical="center"/>
    </xf>
    <xf numFmtId="166" fontId="41" fillId="19" borderId="139" xfId="0" applyNumberFormat="1" applyFont="1" applyFill="1" applyBorder="1" applyAlignment="1" applyProtection="1">
      <alignment horizontal="center" vertical="center"/>
    </xf>
    <xf numFmtId="0" fontId="38" fillId="0" borderId="91" xfId="0" applyFont="1" applyBorder="1" applyAlignment="1" applyProtection="1">
      <alignment vertical="center"/>
    </xf>
    <xf numFmtId="0" fontId="17" fillId="0" borderId="94" xfId="0" applyFont="1" applyBorder="1" applyAlignment="1" applyProtection="1">
      <alignment horizontal="center" vertical="center"/>
    </xf>
    <xf numFmtId="0" fontId="40" fillId="0" borderId="95" xfId="0" applyFont="1" applyBorder="1" applyAlignment="1" applyProtection="1">
      <alignment horizontal="center" vertical="center"/>
    </xf>
    <xf numFmtId="0" fontId="17" fillId="0" borderId="98" xfId="0" applyFont="1" applyBorder="1" applyAlignment="1" applyProtection="1">
      <alignment horizontal="center" vertical="center"/>
    </xf>
    <xf numFmtId="0" fontId="38" fillId="0" borderId="95" xfId="0" applyFont="1" applyBorder="1" applyAlignment="1" applyProtection="1">
      <alignment vertical="center"/>
    </xf>
    <xf numFmtId="0" fontId="20" fillId="0" borderId="102" xfId="0" applyFont="1" applyFill="1" applyBorder="1" applyAlignment="1" applyProtection="1">
      <alignment horizontal="center" vertical="center"/>
    </xf>
    <xf numFmtId="0" fontId="17" fillId="0" borderId="95" xfId="0" applyFont="1" applyBorder="1" applyAlignment="1" applyProtection="1">
      <alignment horizontal="center" vertical="center"/>
    </xf>
    <xf numFmtId="9" fontId="17" fillId="0" borderId="98" xfId="0" applyNumberFormat="1" applyFont="1" applyBorder="1" applyAlignment="1" applyProtection="1">
      <alignment horizontal="center" vertical="center"/>
    </xf>
    <xf numFmtId="166" fontId="52" fillId="0" borderId="45" xfId="0" applyNumberFormat="1" applyFont="1" applyBorder="1" applyAlignment="1" applyProtection="1">
      <alignment horizontal="center" vertical="center"/>
    </xf>
    <xf numFmtId="0" fontId="17" fillId="0" borderId="0" xfId="0" applyFont="1" applyAlignment="1">
      <alignment vertical="center" wrapText="1"/>
    </xf>
    <xf numFmtId="0" fontId="17" fillId="0" borderId="105" xfId="0" applyFont="1" applyBorder="1" applyAlignment="1" applyProtection="1">
      <alignment vertical="center"/>
    </xf>
    <xf numFmtId="166" fontId="52" fillId="0" borderId="48" xfId="0" applyNumberFormat="1" applyFont="1" applyBorder="1" applyAlignment="1" applyProtection="1">
      <alignment horizontal="center" vertical="center"/>
    </xf>
    <xf numFmtId="0" fontId="54" fillId="0" borderId="108" xfId="0" applyFont="1" applyBorder="1" applyAlignment="1" applyProtection="1">
      <alignment horizontal="left" vertical="center" wrapText="1"/>
    </xf>
    <xf numFmtId="0" fontId="53" fillId="0" borderId="98" xfId="0" applyFont="1" applyBorder="1" applyAlignment="1" applyProtection="1">
      <alignment horizontal="center" vertical="center"/>
    </xf>
    <xf numFmtId="166" fontId="48" fillId="0" borderId="45" xfId="0" applyNumberFormat="1" applyFont="1" applyBorder="1" applyAlignment="1" applyProtection="1">
      <alignment horizontal="center" vertical="center"/>
    </xf>
    <xf numFmtId="0" fontId="38" fillId="0" borderId="108" xfId="0" applyFont="1" applyBorder="1" applyAlignment="1" applyProtection="1">
      <alignment horizontal="left" vertical="center" wrapText="1"/>
    </xf>
    <xf numFmtId="166" fontId="48" fillId="0" borderId="48" xfId="0" applyNumberFormat="1" applyFont="1" applyBorder="1" applyAlignment="1" applyProtection="1">
      <alignment horizontal="center" vertical="center"/>
    </xf>
    <xf numFmtId="0" fontId="38" fillId="0" borderId="95" xfId="0" applyFont="1" applyBorder="1" applyAlignment="1" applyProtection="1">
      <alignment horizontal="left" vertical="center"/>
    </xf>
    <xf numFmtId="166" fontId="48" fillId="0" borderId="45" xfId="0" applyNumberFormat="1" applyFont="1" applyFill="1" applyBorder="1" applyAlignment="1" applyProtection="1">
      <alignment horizontal="center" vertical="center"/>
    </xf>
    <xf numFmtId="0" fontId="52" fillId="0" borderId="111" xfId="0" applyFont="1" applyBorder="1" applyAlignment="1" applyProtection="1">
      <alignment vertical="center"/>
    </xf>
    <xf numFmtId="0" fontId="41" fillId="0" borderId="78" xfId="0" applyFont="1" applyFill="1" applyBorder="1" applyAlignment="1" applyProtection="1">
      <alignment horizontal="center" vertical="center"/>
    </xf>
    <xf numFmtId="166" fontId="48" fillId="0" borderId="59" xfId="0" applyNumberFormat="1" applyFont="1" applyBorder="1" applyAlignment="1" applyProtection="1">
      <alignment horizontal="center" vertical="center"/>
    </xf>
    <xf numFmtId="0" fontId="54" fillId="0" borderId="95" xfId="0" applyFont="1" applyBorder="1" applyAlignment="1" applyProtection="1">
      <alignment horizontal="left" vertical="center"/>
    </xf>
    <xf numFmtId="0" fontId="53" fillId="0" borderId="78" xfId="0" applyFont="1" applyFill="1" applyBorder="1" applyAlignment="1" applyProtection="1">
      <alignment horizontal="center" vertical="center"/>
    </xf>
    <xf numFmtId="0" fontId="38" fillId="0" borderId="114" xfId="0" applyFont="1" applyBorder="1" applyAlignment="1" applyProtection="1">
      <alignment horizontal="left" vertical="center"/>
    </xf>
    <xf numFmtId="0" fontId="17" fillId="0" borderId="115" xfId="0" applyFont="1" applyBorder="1" applyAlignment="1" applyProtection="1">
      <alignment horizontal="center" vertical="center"/>
    </xf>
    <xf numFmtId="0" fontId="20" fillId="0" borderId="78" xfId="0" applyFont="1" applyFill="1" applyBorder="1" applyAlignment="1" applyProtection="1">
      <alignment horizontal="center" vertical="center"/>
    </xf>
    <xf numFmtId="0" fontId="48" fillId="30" borderId="99" xfId="0" applyFont="1" applyFill="1" applyBorder="1" applyAlignment="1" applyProtection="1">
      <alignment vertical="center"/>
    </xf>
    <xf numFmtId="0" fontId="50" fillId="30" borderId="62" xfId="0" applyFont="1" applyFill="1" applyBorder="1" applyAlignment="1" applyProtection="1">
      <alignment horizontal="center" vertical="center"/>
    </xf>
    <xf numFmtId="0" fontId="50" fillId="30" borderId="100" xfId="0" applyFont="1" applyFill="1" applyBorder="1" applyAlignment="1" applyProtection="1">
      <alignment horizontal="center" vertical="center"/>
    </xf>
    <xf numFmtId="0" fontId="57" fillId="0" borderId="45" xfId="0" applyFont="1" applyBorder="1" applyAlignment="1" applyProtection="1">
      <alignment vertical="center"/>
    </xf>
    <xf numFmtId="0" fontId="17" fillId="0" borderId="91" xfId="0" applyFont="1" applyBorder="1" applyAlignment="1" applyProtection="1">
      <alignment horizontal="center" vertical="center"/>
    </xf>
    <xf numFmtId="1" fontId="17" fillId="0" borderId="0" xfId="0" applyNumberFormat="1" applyFont="1" applyBorder="1" applyAlignment="1">
      <alignment horizontal="center" vertical="center"/>
    </xf>
    <xf numFmtId="0" fontId="57" fillId="0" borderId="48" xfId="0" applyFont="1" applyBorder="1" applyAlignment="1" applyProtection="1">
      <alignment vertical="center"/>
    </xf>
    <xf numFmtId="0" fontId="59" fillId="0" borderId="95" xfId="0" applyFont="1" applyBorder="1" applyAlignment="1" applyProtection="1">
      <alignment horizontal="center" vertical="center" wrapText="1"/>
    </xf>
    <xf numFmtId="3" fontId="38" fillId="0" borderId="116" xfId="0" applyNumberFormat="1" applyFont="1" applyBorder="1" applyAlignment="1" applyProtection="1">
      <alignment horizontal="center" vertical="center" wrapText="1"/>
    </xf>
    <xf numFmtId="3" fontId="38" fillId="0" borderId="98" xfId="0" applyNumberFormat="1" applyFont="1" applyBorder="1" applyAlignment="1" applyProtection="1">
      <alignment horizontal="center" vertical="center" wrapText="1"/>
    </xf>
    <xf numFmtId="0" fontId="17" fillId="0" borderId="114" xfId="0" applyFont="1" applyBorder="1" applyAlignment="1" applyProtection="1">
      <alignment horizontal="right" vertical="center"/>
    </xf>
    <xf numFmtId="0" fontId="57" fillId="0" borderId="59" xfId="0" applyFont="1" applyBorder="1" applyAlignment="1" applyProtection="1">
      <alignment vertical="center"/>
    </xf>
    <xf numFmtId="0" fontId="48" fillId="32" borderId="99" xfId="0" applyFont="1" applyFill="1" applyBorder="1" applyAlignment="1" applyProtection="1">
      <alignment vertical="center"/>
    </xf>
    <xf numFmtId="0" fontId="50" fillId="32" borderId="62" xfId="0" applyFont="1" applyFill="1" applyBorder="1" applyAlignment="1" applyProtection="1">
      <alignment horizontal="center" vertical="center"/>
    </xf>
    <xf numFmtId="0" fontId="50" fillId="32" borderId="100" xfId="0" applyFont="1" applyFill="1" applyBorder="1" applyAlignment="1" applyProtection="1">
      <alignment horizontal="center" vertical="center"/>
    </xf>
    <xf numFmtId="166" fontId="38" fillId="0" borderId="45" xfId="0" applyNumberFormat="1" applyFont="1" applyBorder="1" applyAlignment="1" applyProtection="1">
      <alignment horizontal="center" vertical="center"/>
    </xf>
    <xf numFmtId="3" fontId="62" fillId="0" borderId="121" xfId="0" applyNumberFormat="1" applyFont="1" applyBorder="1" applyAlignment="1" applyProtection="1">
      <alignment horizontal="center" vertical="center"/>
    </xf>
    <xf numFmtId="3" fontId="62" fillId="0" borderId="94" xfId="0" applyNumberFormat="1" applyFont="1" applyBorder="1" applyAlignment="1" applyProtection="1">
      <alignment horizontal="center" vertical="center"/>
    </xf>
    <xf numFmtId="166" fontId="38" fillId="0" borderId="123" xfId="0" applyNumberFormat="1" applyFont="1" applyBorder="1" applyAlignment="1" applyProtection="1">
      <alignment horizontal="center" vertical="center"/>
    </xf>
    <xf numFmtId="0" fontId="20" fillId="0" borderId="124" xfId="0" applyFont="1" applyBorder="1" applyAlignment="1" applyProtection="1">
      <alignment horizontal="center" vertical="center" wrapText="1"/>
    </xf>
    <xf numFmtId="0" fontId="17" fillId="0" borderId="95" xfId="0" applyFont="1" applyBorder="1" applyAlignment="1" applyProtection="1">
      <alignment horizontal="right" vertical="center"/>
    </xf>
    <xf numFmtId="0" fontId="17" fillId="0" borderId="78" xfId="0" applyFont="1" applyBorder="1" applyAlignment="1" applyProtection="1">
      <alignment horizontal="center" vertical="center"/>
    </xf>
    <xf numFmtId="166" fontId="57" fillId="0" borderId="45" xfId="0" applyNumberFormat="1" applyFont="1" applyBorder="1" applyAlignment="1" applyProtection="1">
      <alignment horizontal="center" vertical="center"/>
    </xf>
    <xf numFmtId="0" fontId="57" fillId="0" borderId="45" xfId="0" applyFont="1" applyBorder="1" applyAlignment="1" applyProtection="1">
      <alignment horizontal="center" vertical="center"/>
    </xf>
    <xf numFmtId="0" fontId="57" fillId="0" borderId="104" xfId="0" applyFont="1" applyBorder="1" applyAlignment="1" applyProtection="1">
      <alignment horizontal="center" vertical="center"/>
    </xf>
    <xf numFmtId="166" fontId="57" fillId="0" borderId="127" xfId="0" applyNumberFormat="1" applyFont="1" applyBorder="1" applyAlignment="1" applyProtection="1">
      <alignment horizontal="center" vertical="center"/>
    </xf>
    <xf numFmtId="0" fontId="57" fillId="0" borderId="127" xfId="0" applyFont="1" applyBorder="1" applyAlignment="1" applyProtection="1">
      <alignment horizontal="center" vertical="center"/>
    </xf>
    <xf numFmtId="0" fontId="57" fillId="0" borderId="128" xfId="0" applyFont="1" applyBorder="1" applyAlignment="1" applyProtection="1">
      <alignment horizontal="center" vertical="center"/>
    </xf>
    <xf numFmtId="0" fontId="17" fillId="0" borderId="0" xfId="0" applyFont="1" applyAlignment="1" applyProtection="1">
      <alignment horizontal="left" vertical="center"/>
    </xf>
    <xf numFmtId="0" fontId="17" fillId="0" borderId="0" xfId="0" applyFont="1" applyAlignment="1" applyProtection="1">
      <alignment vertical="center"/>
    </xf>
    <xf numFmtId="0" fontId="33" fillId="0" borderId="111" xfId="0" applyFont="1" applyBorder="1" applyAlignment="1" applyProtection="1">
      <alignment vertical="center"/>
    </xf>
    <xf numFmtId="0" fontId="17" fillId="0" borderId="0" xfId="0" applyFont="1" applyBorder="1" applyAlignment="1" applyProtection="1">
      <alignment vertical="center" wrapText="1"/>
    </xf>
    <xf numFmtId="169" fontId="38" fillId="33" borderId="45" xfId="0" applyNumberFormat="1" applyFont="1" applyFill="1" applyBorder="1" applyAlignment="1" applyProtection="1">
      <alignment horizontal="center" vertical="center"/>
    </xf>
    <xf numFmtId="3" fontId="38" fillId="0" borderId="121" xfId="0" applyNumberFormat="1" applyFont="1" applyBorder="1" applyAlignment="1" applyProtection="1">
      <alignment horizontal="center" vertical="center"/>
    </xf>
    <xf numFmtId="3" fontId="38" fillId="0" borderId="94" xfId="0" applyNumberFormat="1" applyFont="1" applyBorder="1" applyAlignment="1" applyProtection="1">
      <alignment horizontal="center" vertical="center"/>
    </xf>
    <xf numFmtId="0" fontId="36" fillId="33" borderId="0" xfId="0" applyFont="1" applyFill="1" applyAlignment="1" applyProtection="1">
      <alignment vertical="center"/>
    </xf>
    <xf numFmtId="0" fontId="17" fillId="0" borderId="0" xfId="0" applyFont="1" applyFill="1" applyAlignment="1" applyProtection="1">
      <alignment vertical="center"/>
    </xf>
    <xf numFmtId="0" fontId="17" fillId="33" borderId="0" xfId="0" applyFont="1" applyFill="1" applyAlignment="1" applyProtection="1">
      <alignment vertical="center"/>
    </xf>
    <xf numFmtId="0" fontId="30" fillId="0" borderId="0" xfId="2" applyFont="1" applyFill="1" applyBorder="1" applyAlignment="1" applyProtection="1">
      <alignment horizontal="left" vertical="center"/>
    </xf>
    <xf numFmtId="2" fontId="16" fillId="0" borderId="0" xfId="0" applyNumberFormat="1" applyFont="1" applyFill="1" applyBorder="1" applyAlignment="1">
      <alignment horizontal="center" vertical="center"/>
    </xf>
    <xf numFmtId="0" fontId="29" fillId="0" borderId="22" xfId="0" applyFont="1" applyFill="1" applyBorder="1" applyAlignment="1">
      <alignment vertical="center"/>
    </xf>
    <xf numFmtId="3" fontId="16" fillId="0" borderId="22" xfId="0" applyNumberFormat="1" applyFont="1" applyFill="1" applyBorder="1" applyAlignment="1">
      <alignment horizontal="center" vertical="center"/>
    </xf>
    <xf numFmtId="0" fontId="30" fillId="0" borderId="144" xfId="0" applyFont="1" applyFill="1" applyBorder="1" applyAlignment="1">
      <alignment horizontal="center" vertical="center"/>
    </xf>
    <xf numFmtId="0" fontId="70" fillId="0" borderId="0" xfId="2" applyFont="1" applyFill="1" applyBorder="1" applyAlignment="1" applyProtection="1">
      <protection locked="0"/>
    </xf>
    <xf numFmtId="0" fontId="70" fillId="0" borderId="29" xfId="2" applyFont="1" applyFill="1" applyBorder="1" applyAlignment="1" applyProtection="1">
      <protection locked="0"/>
    </xf>
    <xf numFmtId="0" fontId="70" fillId="0" borderId="30" xfId="2" applyFont="1" applyFill="1" applyBorder="1" applyAlignment="1" applyProtection="1">
      <protection locked="0"/>
    </xf>
    <xf numFmtId="0" fontId="17" fillId="0" borderId="0" xfId="0" applyFont="1" applyFill="1" applyAlignment="1">
      <alignment vertical="center"/>
    </xf>
    <xf numFmtId="0" fontId="16" fillId="0" borderId="0" xfId="0" applyFont="1" applyFill="1" applyAlignment="1">
      <alignment vertical="center"/>
    </xf>
    <xf numFmtId="0" fontId="17" fillId="0" borderId="29" xfId="0" applyFont="1" applyBorder="1" applyAlignment="1">
      <alignment vertical="center"/>
    </xf>
    <xf numFmtId="0" fontId="20" fillId="0" borderId="29" xfId="0" applyFont="1" applyBorder="1" applyAlignment="1">
      <alignment horizontal="center" vertical="center" wrapText="1"/>
    </xf>
    <xf numFmtId="0" fontId="30" fillId="0" borderId="2" xfId="0" applyFont="1" applyBorder="1" applyAlignment="1">
      <alignment horizontal="center" vertical="center" wrapText="1"/>
    </xf>
    <xf numFmtId="0" fontId="29" fillId="0" borderId="10" xfId="0" applyFont="1" applyBorder="1" applyAlignment="1">
      <alignment horizontal="center" vertical="center" wrapText="1"/>
    </xf>
    <xf numFmtId="0" fontId="30" fillId="0" borderId="142" xfId="0" applyFont="1" applyBorder="1" applyAlignment="1">
      <alignment horizontal="center" vertical="center" wrapText="1"/>
    </xf>
    <xf numFmtId="0" fontId="29" fillId="0" borderId="10" xfId="0" applyFont="1" applyBorder="1" applyAlignment="1">
      <alignment horizontal="center" vertical="center"/>
    </xf>
    <xf numFmtId="0" fontId="29" fillId="0" borderId="18" xfId="0" applyFont="1" applyBorder="1" applyAlignment="1">
      <alignment horizontal="center" vertical="center"/>
    </xf>
    <xf numFmtId="0" fontId="29" fillId="0" borderId="28" xfId="0" applyFont="1" applyBorder="1" applyAlignment="1">
      <alignment horizontal="center" vertical="center"/>
    </xf>
    <xf numFmtId="0" fontId="17" fillId="34" borderId="11" xfId="0" applyFont="1" applyFill="1" applyBorder="1" applyAlignment="1">
      <alignment horizontal="center" vertical="center" wrapText="1"/>
    </xf>
    <xf numFmtId="0" fontId="17" fillId="0" borderId="11" xfId="0" applyFont="1" applyFill="1" applyBorder="1" applyAlignment="1">
      <alignment horizontal="center" vertical="center" wrapText="1"/>
    </xf>
    <xf numFmtId="0" fontId="71" fillId="0" borderId="0" xfId="2" applyFont="1" applyFill="1" applyAlignment="1" applyProtection="1">
      <alignment vertical="center"/>
    </xf>
    <xf numFmtId="164" fontId="30" fillId="0" borderId="151" xfId="0" applyNumberFormat="1" applyFont="1" applyFill="1" applyBorder="1" applyAlignment="1">
      <alignment horizontal="center" vertical="center"/>
    </xf>
    <xf numFmtId="164" fontId="30" fillId="0" borderId="152" xfId="0" applyNumberFormat="1" applyFont="1" applyFill="1" applyBorder="1" applyAlignment="1">
      <alignment horizontal="center" vertical="center"/>
    </xf>
    <xf numFmtId="164" fontId="30" fillId="0" borderId="153" xfId="0" applyNumberFormat="1" applyFont="1" applyFill="1" applyBorder="1" applyAlignment="1">
      <alignment horizontal="center" vertical="center"/>
    </xf>
    <xf numFmtId="164" fontId="30" fillId="0" borderId="145" xfId="0" applyNumberFormat="1" applyFont="1" applyFill="1" applyBorder="1" applyAlignment="1">
      <alignment horizontal="center" vertical="center"/>
    </xf>
    <xf numFmtId="0" fontId="17" fillId="0" borderId="0" xfId="0" applyFont="1" applyAlignment="1"/>
    <xf numFmtId="0" fontId="0" fillId="0" borderId="0" xfId="0" applyAlignment="1">
      <alignment horizontal="center"/>
    </xf>
    <xf numFmtId="0" fontId="20" fillId="0" borderId="85" xfId="0" applyFont="1" applyBorder="1" applyAlignment="1">
      <alignment horizontal="center" vertical="center"/>
    </xf>
    <xf numFmtId="0" fontId="20" fillId="0" borderId="35" xfId="0" applyFont="1" applyBorder="1" applyAlignment="1">
      <alignment horizontal="center" vertical="center" wrapText="1"/>
    </xf>
    <xf numFmtId="0" fontId="20" fillId="0" borderId="22" xfId="0" applyFont="1" applyBorder="1" applyAlignment="1">
      <alignment horizontal="center" vertical="center" wrapText="1"/>
    </xf>
    <xf numFmtId="0" fontId="30" fillId="0" borderId="0" xfId="0" applyFont="1" applyFill="1" applyBorder="1" applyAlignment="1">
      <alignment horizontal="center" vertical="center"/>
    </xf>
    <xf numFmtId="3" fontId="16" fillId="0" borderId="0" xfId="0" applyNumberFormat="1" applyFont="1" applyFill="1" applyBorder="1" applyAlignment="1">
      <alignment horizontal="center" vertical="center"/>
    </xf>
    <xf numFmtId="1" fontId="30" fillId="0" borderId="0" xfId="0" applyNumberFormat="1" applyFont="1" applyFill="1" applyBorder="1" applyAlignment="1">
      <alignment horizontal="center" vertical="center"/>
    </xf>
    <xf numFmtId="0" fontId="16" fillId="0" borderId="0" xfId="0" applyFont="1" applyFill="1" applyBorder="1" applyAlignment="1">
      <alignment horizontal="center" vertical="center" wrapText="1"/>
    </xf>
    <xf numFmtId="0" fontId="20" fillId="0" borderId="0" xfId="0" applyFont="1" applyFill="1" applyBorder="1" applyAlignment="1">
      <alignment horizontal="center" vertical="center" wrapText="1"/>
    </xf>
    <xf numFmtId="0" fontId="30" fillId="0" borderId="0" xfId="2" applyFont="1" applyFill="1" applyBorder="1" applyAlignment="1" applyProtection="1">
      <alignment vertical="center" wrapText="1"/>
    </xf>
    <xf numFmtId="0" fontId="15" fillId="0" borderId="0" xfId="0" applyFont="1" applyFill="1" applyBorder="1" applyAlignment="1">
      <alignment horizontal="center" vertical="center"/>
    </xf>
    <xf numFmtId="0" fontId="15" fillId="0" borderId="4" xfId="0" applyFont="1" applyBorder="1" applyAlignment="1">
      <alignment horizontal="center" vertical="center"/>
    </xf>
    <xf numFmtId="3" fontId="16" fillId="13" borderId="12" xfId="0" applyNumberFormat="1" applyFont="1" applyFill="1" applyBorder="1" applyAlignment="1">
      <alignment horizontal="center" vertical="center"/>
    </xf>
    <xf numFmtId="3" fontId="16" fillId="13" borderId="20" xfId="0" applyNumberFormat="1" applyFont="1" applyFill="1" applyBorder="1" applyAlignment="1">
      <alignment horizontal="center" vertical="center"/>
    </xf>
    <xf numFmtId="3" fontId="17" fillId="13" borderId="11" xfId="0" applyNumberFormat="1" applyFont="1" applyFill="1" applyBorder="1" applyAlignment="1">
      <alignment horizontal="center" vertical="center"/>
    </xf>
    <xf numFmtId="3" fontId="17" fillId="13" borderId="19" xfId="0" applyNumberFormat="1" applyFont="1" applyFill="1" applyBorder="1" applyAlignment="1">
      <alignment horizontal="center" vertical="center"/>
    </xf>
    <xf numFmtId="0" fontId="29" fillId="0" borderId="9" xfId="0" applyFont="1" applyBorder="1" applyAlignment="1">
      <alignment horizontal="left" vertical="center" wrapText="1"/>
    </xf>
    <xf numFmtId="0" fontId="29" fillId="0" borderId="167" xfId="0" applyFont="1" applyBorder="1" applyAlignment="1">
      <alignment horizontal="left" vertical="center" wrapText="1"/>
    </xf>
    <xf numFmtId="0" fontId="30" fillId="0" borderId="1" xfId="0" applyFont="1" applyBorder="1" applyAlignment="1">
      <alignment horizontal="right" vertical="center" wrapText="1"/>
    </xf>
    <xf numFmtId="0" fontId="30" fillId="0" borderId="25" xfId="0" applyFont="1" applyBorder="1" applyAlignment="1">
      <alignment horizontal="right" vertical="center" wrapText="1"/>
    </xf>
    <xf numFmtId="164" fontId="0" fillId="11" borderId="141" xfId="0" applyNumberFormat="1" applyFill="1" applyBorder="1" applyAlignment="1">
      <alignment horizontal="center"/>
    </xf>
    <xf numFmtId="1" fontId="0" fillId="11" borderId="17" xfId="0" applyNumberFormat="1" applyFill="1" applyBorder="1" applyAlignment="1">
      <alignment horizontal="center"/>
    </xf>
    <xf numFmtId="164" fontId="0" fillId="5" borderId="141" xfId="0" applyNumberFormat="1" applyFill="1" applyBorder="1" applyAlignment="1">
      <alignment horizontal="center"/>
    </xf>
    <xf numFmtId="1" fontId="0" fillId="5" borderId="17" xfId="0" applyNumberFormat="1" applyFill="1" applyBorder="1" applyAlignment="1">
      <alignment horizontal="center"/>
    </xf>
    <xf numFmtId="164" fontId="0" fillId="6" borderId="141" xfId="0" applyNumberFormat="1" applyFill="1" applyBorder="1" applyAlignment="1">
      <alignment horizontal="center"/>
    </xf>
    <xf numFmtId="1" fontId="0" fillId="6" borderId="17" xfId="0" applyNumberFormat="1" applyFill="1" applyBorder="1" applyAlignment="1">
      <alignment horizontal="center"/>
    </xf>
    <xf numFmtId="0" fontId="0" fillId="3" borderId="12" xfId="0" applyFill="1" applyBorder="1" applyAlignment="1">
      <alignment horizontal="center"/>
    </xf>
    <xf numFmtId="0" fontId="17" fillId="0" borderId="0" xfId="0" applyFont="1" applyAlignment="1">
      <alignment horizontal="center"/>
    </xf>
    <xf numFmtId="0" fontId="20" fillId="2" borderId="1" xfId="0" applyFont="1" applyFill="1" applyBorder="1" applyAlignment="1">
      <alignment horizontal="center"/>
    </xf>
    <xf numFmtId="0" fontId="20" fillId="3" borderId="4" xfId="0" applyFont="1" applyFill="1" applyBorder="1" applyAlignment="1">
      <alignment horizontal="center"/>
    </xf>
    <xf numFmtId="0" fontId="20" fillId="2" borderId="1" xfId="0" applyFont="1" applyFill="1" applyBorder="1" applyAlignment="1">
      <alignment horizontal="center" wrapText="1"/>
    </xf>
    <xf numFmtId="0" fontId="20" fillId="3" borderId="10" xfId="0" applyFont="1" applyFill="1" applyBorder="1" applyAlignment="1">
      <alignment horizontal="center" wrapText="1"/>
    </xf>
    <xf numFmtId="0" fontId="20" fillId="3" borderId="11" xfId="0" applyFont="1" applyFill="1" applyBorder="1" applyAlignment="1">
      <alignment horizontal="center" wrapText="1"/>
    </xf>
    <xf numFmtId="0" fontId="20" fillId="3" borderId="12" xfId="0" applyFont="1" applyFill="1" applyBorder="1" applyAlignment="1">
      <alignment horizontal="center" wrapText="1"/>
    </xf>
    <xf numFmtId="0" fontId="20" fillId="4" borderId="11" xfId="0" applyFont="1" applyFill="1" applyBorder="1" applyAlignment="1">
      <alignment horizontal="center" wrapText="1"/>
    </xf>
    <xf numFmtId="0" fontId="20" fillId="5" borderId="11" xfId="0" applyFont="1" applyFill="1" applyBorder="1" applyAlignment="1">
      <alignment horizontal="center" wrapText="1"/>
    </xf>
    <xf numFmtId="0" fontId="20" fillId="6" borderId="11" xfId="0" applyFont="1" applyFill="1" applyBorder="1" applyAlignment="1">
      <alignment horizontal="center" wrapText="1"/>
    </xf>
    <xf numFmtId="0" fontId="20" fillId="7" borderId="11" xfId="0" applyFont="1" applyFill="1" applyBorder="1" applyAlignment="1">
      <alignment horizontal="center" wrapText="1"/>
    </xf>
    <xf numFmtId="0" fontId="20" fillId="8" borderId="11" xfId="0" applyFont="1" applyFill="1" applyBorder="1" applyAlignment="1">
      <alignment horizontal="center" wrapText="1"/>
    </xf>
    <xf numFmtId="0" fontId="20" fillId="0" borderId="0" xfId="0" applyFont="1" applyFill="1" applyBorder="1" applyAlignment="1">
      <alignment horizontal="center" wrapText="1"/>
    </xf>
    <xf numFmtId="0" fontId="17" fillId="0" borderId="0" xfId="0" applyFont="1" applyAlignment="1">
      <alignment horizontal="center" wrapText="1"/>
    </xf>
    <xf numFmtId="0" fontId="17" fillId="3" borderId="10" xfId="0" applyFont="1" applyFill="1" applyBorder="1" applyAlignment="1">
      <alignment horizontal="center"/>
    </xf>
    <xf numFmtId="0" fontId="17" fillId="3" borderId="11" xfId="0" applyFont="1" applyFill="1" applyBorder="1" applyAlignment="1">
      <alignment horizontal="center"/>
    </xf>
    <xf numFmtId="1" fontId="17" fillId="3" borderId="11" xfId="0" applyNumberFormat="1" applyFont="1" applyFill="1" applyBorder="1" applyAlignment="1">
      <alignment horizontal="center"/>
    </xf>
    <xf numFmtId="164" fontId="17" fillId="3" borderId="11" xfId="0" applyNumberFormat="1" applyFont="1" applyFill="1" applyBorder="1" applyAlignment="1">
      <alignment horizontal="center"/>
    </xf>
    <xf numFmtId="1" fontId="17" fillId="3" borderId="12" xfId="0" applyNumberFormat="1" applyFont="1" applyFill="1" applyBorder="1" applyAlignment="1">
      <alignment horizontal="center"/>
    </xf>
    <xf numFmtId="165" fontId="17" fillId="4" borderId="11" xfId="0" applyNumberFormat="1" applyFont="1" applyFill="1" applyBorder="1" applyAlignment="1">
      <alignment horizontal="center"/>
    </xf>
    <xf numFmtId="1" fontId="17" fillId="4" borderId="11" xfId="0" applyNumberFormat="1" applyFont="1" applyFill="1" applyBorder="1" applyAlignment="1">
      <alignment horizontal="center"/>
    </xf>
    <xf numFmtId="164" fontId="17" fillId="4" borderId="11" xfId="0" applyNumberFormat="1" applyFont="1" applyFill="1" applyBorder="1" applyAlignment="1">
      <alignment horizontal="center"/>
    </xf>
    <xf numFmtId="0" fontId="17" fillId="4" borderId="11" xfId="0" applyFont="1" applyFill="1" applyBorder="1" applyAlignment="1">
      <alignment horizontal="center"/>
    </xf>
    <xf numFmtId="0" fontId="17" fillId="5" borderId="10" xfId="0" applyFont="1" applyFill="1" applyBorder="1" applyAlignment="1">
      <alignment horizontal="center"/>
    </xf>
    <xf numFmtId="165" fontId="17" fillId="5" borderId="11" xfId="0" applyNumberFormat="1" applyFont="1" applyFill="1" applyBorder="1" applyAlignment="1">
      <alignment horizontal="center"/>
    </xf>
    <xf numFmtId="1" fontId="17" fillId="5" borderId="11" xfId="0" applyNumberFormat="1" applyFont="1" applyFill="1" applyBorder="1" applyAlignment="1">
      <alignment horizontal="center"/>
    </xf>
    <xf numFmtId="164" fontId="17" fillId="5" borderId="11" xfId="0" applyNumberFormat="1" applyFont="1" applyFill="1" applyBorder="1" applyAlignment="1">
      <alignment horizontal="center"/>
    </xf>
    <xf numFmtId="166" fontId="17" fillId="5" borderId="11" xfId="0" applyNumberFormat="1" applyFont="1" applyFill="1" applyBorder="1" applyAlignment="1">
      <alignment horizontal="center"/>
    </xf>
    <xf numFmtId="0" fontId="17" fillId="5" borderId="11" xfId="0" applyFont="1" applyFill="1" applyBorder="1" applyAlignment="1">
      <alignment horizontal="center"/>
    </xf>
    <xf numFmtId="165" fontId="17" fillId="6" borderId="11" xfId="0" applyNumberFormat="1" applyFont="1" applyFill="1" applyBorder="1" applyAlignment="1">
      <alignment horizontal="center"/>
    </xf>
    <xf numFmtId="1" fontId="17" fillId="6" borderId="11" xfId="0" applyNumberFormat="1" applyFont="1" applyFill="1" applyBorder="1" applyAlignment="1">
      <alignment horizontal="center"/>
    </xf>
    <xf numFmtId="164" fontId="17" fillId="6" borderId="11" xfId="0" applyNumberFormat="1" applyFont="1" applyFill="1" applyBorder="1" applyAlignment="1">
      <alignment horizontal="center"/>
    </xf>
    <xf numFmtId="166" fontId="17" fillId="6" borderId="11" xfId="0" applyNumberFormat="1" applyFont="1" applyFill="1" applyBorder="1" applyAlignment="1">
      <alignment horizontal="center"/>
    </xf>
    <xf numFmtId="164" fontId="17" fillId="7" borderId="10" xfId="0" applyNumberFormat="1" applyFont="1" applyFill="1" applyBorder="1" applyAlignment="1">
      <alignment horizontal="center"/>
    </xf>
    <xf numFmtId="165" fontId="17" fillId="7" borderId="11" xfId="0" applyNumberFormat="1" applyFont="1" applyFill="1" applyBorder="1" applyAlignment="1">
      <alignment horizontal="center"/>
    </xf>
    <xf numFmtId="1" fontId="17" fillId="7" borderId="11" xfId="0" applyNumberFormat="1" applyFont="1" applyFill="1" applyBorder="1" applyAlignment="1">
      <alignment horizontal="center"/>
    </xf>
    <xf numFmtId="166" fontId="17" fillId="7" borderId="11" xfId="0" applyNumberFormat="1" applyFont="1" applyFill="1" applyBorder="1" applyAlignment="1">
      <alignment horizontal="center"/>
    </xf>
    <xf numFmtId="164" fontId="17" fillId="7" borderId="11" xfId="0" applyNumberFormat="1" applyFont="1" applyFill="1" applyBorder="1" applyAlignment="1">
      <alignment horizontal="center"/>
    </xf>
    <xf numFmtId="0" fontId="17" fillId="0" borderId="0" xfId="0" applyFont="1" applyFill="1" applyBorder="1" applyAlignment="1">
      <alignment horizontal="center"/>
    </xf>
    <xf numFmtId="1" fontId="20" fillId="7" borderId="11" xfId="0" applyNumberFormat="1" applyFont="1" applyFill="1" applyBorder="1" applyAlignment="1">
      <alignment horizontal="center"/>
    </xf>
    <xf numFmtId="0" fontId="17" fillId="6" borderId="11" xfId="0" applyFont="1" applyFill="1" applyBorder="1" applyAlignment="1">
      <alignment horizontal="center"/>
    </xf>
    <xf numFmtId="0" fontId="17" fillId="7" borderId="11" xfId="0" applyFont="1" applyFill="1" applyBorder="1" applyAlignment="1">
      <alignment horizontal="center"/>
    </xf>
    <xf numFmtId="0" fontId="17" fillId="3" borderId="12" xfId="0" applyFont="1" applyFill="1" applyBorder="1" applyAlignment="1">
      <alignment horizontal="center"/>
    </xf>
    <xf numFmtId="0" fontId="17" fillId="0" borderId="0" xfId="0" applyFont="1" applyBorder="1" applyAlignment="1">
      <alignment horizontal="center"/>
    </xf>
    <xf numFmtId="164" fontId="17" fillId="0" borderId="0" xfId="0" applyNumberFormat="1" applyFont="1" applyAlignment="1">
      <alignment horizontal="center"/>
    </xf>
    <xf numFmtId="0" fontId="76" fillId="4" borderId="21" xfId="0" applyFont="1" applyFill="1" applyBorder="1" applyAlignment="1"/>
    <xf numFmtId="0" fontId="76" fillId="4" borderId="22" xfId="0" applyFont="1" applyFill="1" applyBorder="1" applyAlignment="1"/>
    <xf numFmtId="0" fontId="76" fillId="4" borderId="2" xfId="0" applyFont="1" applyFill="1" applyBorder="1" applyAlignment="1"/>
    <xf numFmtId="0" fontId="76" fillId="4" borderId="3" xfId="0" applyFont="1" applyFill="1" applyBorder="1" applyAlignment="1"/>
    <xf numFmtId="0" fontId="76" fillId="4" borderId="23" xfId="0" applyFont="1" applyFill="1" applyBorder="1" applyAlignment="1"/>
    <xf numFmtId="0" fontId="76" fillId="9" borderId="2" xfId="0" applyFont="1" applyFill="1" applyBorder="1" applyAlignment="1"/>
    <xf numFmtId="0" fontId="76" fillId="9" borderId="24" xfId="0" applyFont="1" applyFill="1" applyBorder="1" applyAlignment="1"/>
    <xf numFmtId="0" fontId="76" fillId="9" borderId="3" xfId="0" applyFont="1" applyFill="1" applyBorder="1" applyAlignment="1"/>
    <xf numFmtId="0" fontId="76" fillId="9" borderId="23" xfId="0" applyFont="1" applyFill="1" applyBorder="1" applyAlignment="1"/>
    <xf numFmtId="0" fontId="20" fillId="11" borderId="10" xfId="0" applyFont="1" applyFill="1" applyBorder="1" applyAlignment="1">
      <alignment horizontal="center" wrapText="1"/>
    </xf>
    <xf numFmtId="0" fontId="20" fillId="11" borderId="11" xfId="0" applyFont="1" applyFill="1" applyBorder="1" applyAlignment="1">
      <alignment horizontal="center" wrapText="1"/>
    </xf>
    <xf numFmtId="0" fontId="20" fillId="5" borderId="10" xfId="0" applyFont="1" applyFill="1" applyBorder="1" applyAlignment="1">
      <alignment horizontal="center" wrapText="1"/>
    </xf>
    <xf numFmtId="0" fontId="20" fillId="6" borderId="10" xfId="0" applyFont="1" applyFill="1" applyBorder="1" applyAlignment="1">
      <alignment horizontal="center" wrapText="1"/>
    </xf>
    <xf numFmtId="0" fontId="20" fillId="12" borderId="10" xfId="0" applyFont="1" applyFill="1" applyBorder="1" applyAlignment="1">
      <alignment horizontal="center" wrapText="1"/>
    </xf>
    <xf numFmtId="0" fontId="20" fillId="12" borderId="11" xfId="0" applyFont="1" applyFill="1" applyBorder="1" applyAlignment="1">
      <alignment horizontal="center" wrapText="1"/>
    </xf>
    <xf numFmtId="0" fontId="20" fillId="4" borderId="10" xfId="0" applyFont="1" applyFill="1" applyBorder="1" applyAlignment="1">
      <alignment horizontal="center" wrapText="1"/>
    </xf>
    <xf numFmtId="0" fontId="20" fillId="13" borderId="10" xfId="0" applyFont="1" applyFill="1" applyBorder="1" applyAlignment="1">
      <alignment horizontal="center" wrapText="1"/>
    </xf>
    <xf numFmtId="0" fontId="20" fillId="13" borderId="11" xfId="0" applyFont="1" applyFill="1" applyBorder="1" applyAlignment="1">
      <alignment horizontal="center" wrapText="1"/>
    </xf>
    <xf numFmtId="0" fontId="20" fillId="4" borderId="12" xfId="0" applyFont="1" applyFill="1" applyBorder="1" applyAlignment="1">
      <alignment horizontal="center" wrapText="1"/>
    </xf>
    <xf numFmtId="164" fontId="17" fillId="11" borderId="10" xfId="0" applyNumberFormat="1" applyFont="1" applyFill="1" applyBorder="1" applyAlignment="1">
      <alignment horizontal="center"/>
    </xf>
    <xf numFmtId="165" fontId="17" fillId="11" borderId="11" xfId="0" applyNumberFormat="1" applyFont="1" applyFill="1" applyBorder="1" applyAlignment="1">
      <alignment horizontal="center"/>
    </xf>
    <xf numFmtId="1" fontId="17" fillId="11" borderId="11" xfId="0" applyNumberFormat="1" applyFont="1" applyFill="1" applyBorder="1" applyAlignment="1">
      <alignment horizontal="center"/>
    </xf>
    <xf numFmtId="164" fontId="17" fillId="11" borderId="11" xfId="0" applyNumberFormat="1" applyFont="1" applyFill="1" applyBorder="1" applyAlignment="1">
      <alignment horizontal="center"/>
    </xf>
    <xf numFmtId="0" fontId="17" fillId="11" borderId="11" xfId="0" applyFont="1" applyFill="1" applyBorder="1" applyAlignment="1">
      <alignment horizontal="center"/>
    </xf>
    <xf numFmtId="2" fontId="17" fillId="11" borderId="11" xfId="0" applyNumberFormat="1" applyFont="1" applyFill="1" applyBorder="1" applyAlignment="1">
      <alignment horizontal="center"/>
    </xf>
    <xf numFmtId="164" fontId="17" fillId="5" borderId="10" xfId="0" applyNumberFormat="1" applyFont="1" applyFill="1" applyBorder="1" applyAlignment="1">
      <alignment horizontal="center"/>
    </xf>
    <xf numFmtId="2" fontId="17" fillId="5" borderId="11" xfId="0" applyNumberFormat="1" applyFont="1" applyFill="1" applyBorder="1" applyAlignment="1">
      <alignment horizontal="center"/>
    </xf>
    <xf numFmtId="164" fontId="17" fillId="6" borderId="10" xfId="0" applyNumberFormat="1" applyFont="1" applyFill="1" applyBorder="1" applyAlignment="1">
      <alignment horizontal="center"/>
    </xf>
    <xf numFmtId="164" fontId="17" fillId="12" borderId="10" xfId="0" applyNumberFormat="1" applyFont="1" applyFill="1" applyBorder="1" applyAlignment="1">
      <alignment horizontal="center"/>
    </xf>
    <xf numFmtId="165" fontId="17" fillId="12" borderId="11" xfId="0" applyNumberFormat="1" applyFont="1" applyFill="1" applyBorder="1" applyAlignment="1">
      <alignment horizontal="center"/>
    </xf>
    <xf numFmtId="1" fontId="17" fillId="12" borderId="11" xfId="0" applyNumberFormat="1" applyFont="1" applyFill="1" applyBorder="1" applyAlignment="1">
      <alignment horizontal="center"/>
    </xf>
    <xf numFmtId="164" fontId="17" fillId="12" borderId="11" xfId="0" applyNumberFormat="1" applyFont="1" applyFill="1" applyBorder="1" applyAlignment="1">
      <alignment horizontal="center"/>
    </xf>
    <xf numFmtId="164" fontId="17" fillId="12" borderId="1" xfId="0" applyNumberFormat="1" applyFont="1" applyFill="1" applyBorder="1" applyAlignment="1">
      <alignment horizontal="center"/>
    </xf>
    <xf numFmtId="164" fontId="17" fillId="11" borderId="1" xfId="0" applyNumberFormat="1" applyFont="1" applyFill="1" applyBorder="1" applyAlignment="1">
      <alignment horizontal="center"/>
    </xf>
    <xf numFmtId="164" fontId="17" fillId="3" borderId="10" xfId="0" applyNumberFormat="1" applyFont="1" applyFill="1" applyBorder="1" applyAlignment="1">
      <alignment horizontal="center"/>
    </xf>
    <xf numFmtId="165" fontId="17" fillId="3" borderId="11" xfId="0" applyNumberFormat="1" applyFont="1" applyFill="1" applyBorder="1" applyAlignment="1">
      <alignment horizontal="center"/>
    </xf>
    <xf numFmtId="164" fontId="17" fillId="3" borderId="1" xfId="0" applyNumberFormat="1" applyFont="1" applyFill="1" applyBorder="1" applyAlignment="1">
      <alignment horizontal="center"/>
    </xf>
    <xf numFmtId="164" fontId="17" fillId="4" borderId="10" xfId="0" applyNumberFormat="1" applyFont="1" applyFill="1" applyBorder="1" applyAlignment="1">
      <alignment horizontal="center"/>
    </xf>
    <xf numFmtId="0" fontId="17" fillId="4" borderId="1" xfId="0" applyFont="1" applyFill="1" applyBorder="1" applyAlignment="1">
      <alignment horizontal="center"/>
    </xf>
    <xf numFmtId="164" fontId="17" fillId="13" borderId="10" xfId="0" applyNumberFormat="1" applyFont="1" applyFill="1" applyBorder="1" applyAlignment="1">
      <alignment horizontal="center"/>
    </xf>
    <xf numFmtId="165" fontId="17" fillId="13" borderId="11" xfId="0" applyNumberFormat="1" applyFont="1" applyFill="1" applyBorder="1" applyAlignment="1">
      <alignment horizontal="center"/>
    </xf>
    <xf numFmtId="1" fontId="17" fillId="13" borderId="11" xfId="0" applyNumberFormat="1" applyFont="1" applyFill="1" applyBorder="1" applyAlignment="1">
      <alignment horizontal="center"/>
    </xf>
    <xf numFmtId="0" fontId="17" fillId="4" borderId="12" xfId="0" applyFont="1" applyFill="1" applyBorder="1" applyAlignment="1">
      <alignment horizontal="center"/>
    </xf>
    <xf numFmtId="1" fontId="17" fillId="11" borderId="1" xfId="0" applyNumberFormat="1" applyFont="1" applyFill="1" applyBorder="1" applyAlignment="1">
      <alignment horizontal="center"/>
    </xf>
    <xf numFmtId="164" fontId="17" fillId="13" borderId="11" xfId="0" applyNumberFormat="1" applyFont="1" applyFill="1" applyBorder="1" applyAlignment="1">
      <alignment horizontal="center"/>
    </xf>
    <xf numFmtId="2" fontId="17" fillId="6" borderId="1" xfId="0" applyNumberFormat="1" applyFont="1" applyFill="1" applyBorder="1" applyAlignment="1">
      <alignment horizontal="center"/>
    </xf>
    <xf numFmtId="16" fontId="17" fillId="0" borderId="0" xfId="0" applyNumberFormat="1" applyFont="1" applyAlignment="1">
      <alignment horizontal="center"/>
    </xf>
    <xf numFmtId="2" fontId="17" fillId="0" borderId="0" xfId="0" applyNumberFormat="1" applyFont="1" applyAlignment="1">
      <alignment horizontal="center"/>
    </xf>
    <xf numFmtId="1" fontId="17" fillId="0" borderId="0" xfId="0" applyNumberFormat="1" applyFont="1" applyAlignment="1">
      <alignment horizontal="center"/>
    </xf>
    <xf numFmtId="2" fontId="20" fillId="0" borderId="0" xfId="0" applyNumberFormat="1" applyFont="1" applyAlignment="1">
      <alignment horizontal="center"/>
    </xf>
    <xf numFmtId="0" fontId="20" fillId="4" borderId="21" xfId="0" applyFont="1" applyFill="1" applyBorder="1" applyAlignment="1"/>
    <xf numFmtId="0" fontId="20" fillId="4" borderId="22" xfId="0" applyFont="1" applyFill="1" applyBorder="1" applyAlignment="1"/>
    <xf numFmtId="0" fontId="20" fillId="4" borderId="26" xfId="0" applyFont="1" applyFill="1" applyBorder="1" applyAlignment="1"/>
    <xf numFmtId="0" fontId="20" fillId="4" borderId="32" xfId="0" applyFont="1" applyFill="1" applyBorder="1" applyAlignment="1"/>
    <xf numFmtId="0" fontId="17" fillId="4" borderId="10" xfId="0" applyFont="1" applyFill="1" applyBorder="1" applyAlignment="1">
      <alignment horizontal="center"/>
    </xf>
    <xf numFmtId="1" fontId="17" fillId="4" borderId="12" xfId="0" applyNumberFormat="1" applyFont="1" applyFill="1" applyBorder="1" applyAlignment="1">
      <alignment horizontal="center"/>
    </xf>
    <xf numFmtId="0" fontId="20" fillId="5" borderId="31" xfId="0" applyFont="1" applyFill="1" applyBorder="1" applyAlignment="1"/>
    <xf numFmtId="0" fontId="20" fillId="5" borderId="26" xfId="0" applyFont="1" applyFill="1" applyBorder="1" applyAlignment="1"/>
    <xf numFmtId="0" fontId="20" fillId="5" borderId="32" xfId="0" applyFont="1" applyFill="1" applyBorder="1" applyAlignment="1"/>
    <xf numFmtId="0" fontId="20" fillId="5" borderId="12" xfId="0" applyFont="1" applyFill="1" applyBorder="1" applyAlignment="1">
      <alignment horizontal="center" wrapText="1"/>
    </xf>
    <xf numFmtId="1" fontId="17" fillId="5" borderId="12" xfId="0" applyNumberFormat="1" applyFont="1" applyFill="1" applyBorder="1" applyAlignment="1">
      <alignment horizontal="center"/>
    </xf>
    <xf numFmtId="0" fontId="20" fillId="6" borderId="31" xfId="0" applyFont="1" applyFill="1" applyBorder="1" applyAlignment="1"/>
    <xf numFmtId="0" fontId="20" fillId="6" borderId="26" xfId="0" applyFont="1" applyFill="1" applyBorder="1" applyAlignment="1"/>
    <xf numFmtId="0" fontId="20" fillId="6" borderId="32" xfId="0" applyFont="1" applyFill="1" applyBorder="1" applyAlignment="1"/>
    <xf numFmtId="0" fontId="20" fillId="6" borderId="12" xfId="0" applyFont="1" applyFill="1" applyBorder="1" applyAlignment="1">
      <alignment horizontal="center" wrapText="1"/>
    </xf>
    <xf numFmtId="1" fontId="17" fillId="6" borderId="12" xfId="0" applyNumberFormat="1" applyFont="1" applyFill="1" applyBorder="1" applyAlignment="1">
      <alignment horizontal="center"/>
    </xf>
    <xf numFmtId="0" fontId="20" fillId="7" borderId="31" xfId="0" applyFont="1" applyFill="1" applyBorder="1" applyAlignment="1"/>
    <xf numFmtId="0" fontId="20" fillId="7" borderId="26" xfId="0" applyFont="1" applyFill="1" applyBorder="1" applyAlignment="1"/>
    <xf numFmtId="0" fontId="20" fillId="7" borderId="32" xfId="0" applyFont="1" applyFill="1" applyBorder="1" applyAlignment="1"/>
    <xf numFmtId="0" fontId="20" fillId="7" borderId="10" xfId="0" applyFont="1" applyFill="1" applyBorder="1" applyAlignment="1">
      <alignment horizontal="center" wrapText="1"/>
    </xf>
    <xf numFmtId="0" fontId="20" fillId="7" borderId="12" xfId="0" applyFont="1" applyFill="1" applyBorder="1" applyAlignment="1">
      <alignment horizontal="center" wrapText="1"/>
    </xf>
    <xf numFmtId="1" fontId="17" fillId="7" borderId="12" xfId="0" applyNumberFormat="1" applyFont="1" applyFill="1" applyBorder="1" applyAlignment="1">
      <alignment horizontal="center"/>
    </xf>
    <xf numFmtId="0" fontId="20" fillId="8" borderId="10" xfId="0" applyFont="1" applyFill="1" applyBorder="1" applyAlignment="1">
      <alignment horizontal="center" wrapText="1"/>
    </xf>
    <xf numFmtId="0" fontId="20" fillId="8" borderId="12" xfId="0" applyFont="1" applyFill="1" applyBorder="1" applyAlignment="1">
      <alignment horizontal="center" wrapText="1"/>
    </xf>
    <xf numFmtId="0" fontId="20" fillId="8" borderId="2" xfId="0" applyFont="1" applyFill="1" applyBorder="1" applyAlignment="1"/>
    <xf numFmtId="0" fontId="20" fillId="8" borderId="3" xfId="0" applyFont="1" applyFill="1" applyBorder="1" applyAlignment="1"/>
    <xf numFmtId="0" fontId="20" fillId="8" borderId="4" xfId="0" applyFont="1" applyFill="1" applyBorder="1" applyAlignment="1"/>
    <xf numFmtId="166" fontId="17" fillId="8" borderId="10" xfId="0" applyNumberFormat="1" applyFont="1" applyFill="1" applyBorder="1" applyAlignment="1">
      <alignment horizontal="center" vertical="center"/>
    </xf>
    <xf numFmtId="166" fontId="17" fillId="8" borderId="11" xfId="0" applyNumberFormat="1" applyFont="1" applyFill="1" applyBorder="1" applyAlignment="1">
      <alignment horizontal="center" vertical="center"/>
    </xf>
    <xf numFmtId="1" fontId="17" fillId="8" borderId="11" xfId="0" applyNumberFormat="1" applyFont="1" applyFill="1" applyBorder="1" applyAlignment="1">
      <alignment horizontal="center" vertical="center"/>
    </xf>
    <xf numFmtId="1" fontId="17" fillId="8" borderId="12" xfId="0" applyNumberFormat="1" applyFont="1" applyFill="1" applyBorder="1" applyAlignment="1">
      <alignment horizontal="center" vertical="center"/>
    </xf>
    <xf numFmtId="0" fontId="37" fillId="0" borderId="0" xfId="0" applyFont="1" applyFill="1" applyAlignment="1">
      <alignment horizontal="center" vertical="center"/>
    </xf>
    <xf numFmtId="3" fontId="0" fillId="11" borderId="17" xfId="0" applyNumberFormat="1" applyFill="1" applyBorder="1" applyAlignment="1">
      <alignment horizontal="center"/>
    </xf>
    <xf numFmtId="3" fontId="0" fillId="12" borderId="11" xfId="0" applyNumberFormat="1" applyFill="1" applyBorder="1" applyAlignment="1">
      <alignment horizontal="center"/>
    </xf>
    <xf numFmtId="0" fontId="37" fillId="34" borderId="6" xfId="0" applyFont="1" applyFill="1" applyBorder="1" applyAlignment="1">
      <alignment horizontal="center" vertical="center"/>
    </xf>
    <xf numFmtId="2" fontId="37" fillId="34" borderId="172" xfId="0" applyNumberFormat="1" applyFont="1" applyFill="1" applyBorder="1" applyAlignment="1">
      <alignment horizontal="center" vertical="center"/>
    </xf>
    <xf numFmtId="0" fontId="37" fillId="34" borderId="138" xfId="0" applyFont="1" applyFill="1" applyBorder="1" applyAlignment="1">
      <alignment horizontal="center" vertical="center"/>
    </xf>
    <xf numFmtId="0" fontId="37" fillId="34" borderId="20" xfId="0" applyFont="1" applyFill="1" applyBorder="1" applyAlignment="1">
      <alignment horizontal="center" vertical="center"/>
    </xf>
    <xf numFmtId="1" fontId="37" fillId="34" borderId="138" xfId="0" applyNumberFormat="1" applyFont="1" applyFill="1" applyBorder="1" applyAlignment="1">
      <alignment horizontal="center" vertical="center"/>
    </xf>
    <xf numFmtId="1" fontId="37" fillId="34" borderId="20" xfId="0" applyNumberFormat="1" applyFont="1" applyFill="1" applyBorder="1" applyAlignment="1">
      <alignment horizontal="center" vertical="center"/>
    </xf>
    <xf numFmtId="0" fontId="37" fillId="34" borderId="19" xfId="0" applyFont="1" applyFill="1" applyBorder="1" applyAlignment="1">
      <alignment horizontal="center" vertical="center"/>
    </xf>
    <xf numFmtId="2" fontId="37" fillId="34" borderId="18" xfId="0" applyNumberFormat="1" applyFont="1" applyFill="1" applyBorder="1" applyAlignment="1">
      <alignment horizontal="center" vertical="center"/>
    </xf>
    <xf numFmtId="164" fontId="37" fillId="34" borderId="19" xfId="0" applyNumberFormat="1" applyFont="1" applyFill="1" applyBorder="1" applyAlignment="1">
      <alignment horizontal="center" vertical="center"/>
    </xf>
    <xf numFmtId="0" fontId="37" fillId="34" borderId="18" xfId="0" applyFont="1" applyFill="1" applyBorder="1" applyAlignment="1">
      <alignment horizontal="center" vertical="center"/>
    </xf>
    <xf numFmtId="0" fontId="76" fillId="15" borderId="2" xfId="0" applyFont="1" applyFill="1" applyBorder="1" applyAlignment="1"/>
    <xf numFmtId="0" fontId="76" fillId="15" borderId="3" xfId="0" applyFont="1" applyFill="1" applyBorder="1" applyAlignment="1"/>
    <xf numFmtId="0" fontId="76" fillId="15" borderId="23" xfId="0" applyFont="1" applyFill="1" applyBorder="1" applyAlignment="1"/>
    <xf numFmtId="0" fontId="76" fillId="15" borderId="26" xfId="0" applyFont="1" applyFill="1" applyBorder="1" applyAlignment="1"/>
    <xf numFmtId="0" fontId="76" fillId="11" borderId="2" xfId="0" applyFont="1" applyFill="1" applyBorder="1" applyAlignment="1"/>
    <xf numFmtId="0" fontId="76" fillId="11" borderId="3" xfId="0" applyFont="1" applyFill="1" applyBorder="1" applyAlignment="1"/>
    <xf numFmtId="0" fontId="76" fillId="11" borderId="4" xfId="0" applyFont="1" applyFill="1" applyBorder="1" applyAlignment="1"/>
    <xf numFmtId="0" fontId="76" fillId="4" borderId="27" xfId="0" applyFont="1" applyFill="1" applyBorder="1" applyAlignment="1"/>
    <xf numFmtId="0" fontId="20" fillId="11" borderId="12" xfId="0" applyFont="1" applyFill="1" applyBorder="1" applyAlignment="1">
      <alignment horizontal="center" wrapText="1"/>
    </xf>
    <xf numFmtId="0" fontId="17" fillId="11" borderId="12" xfId="0" applyFont="1" applyFill="1" applyBorder="1" applyAlignment="1">
      <alignment horizontal="center"/>
    </xf>
    <xf numFmtId="0" fontId="0" fillId="11" borderId="12" xfId="0" applyFill="1" applyBorder="1" applyAlignment="1">
      <alignment horizontal="center"/>
    </xf>
    <xf numFmtId="0" fontId="76" fillId="4" borderId="4" xfId="0" applyFont="1" applyFill="1" applyBorder="1" applyAlignment="1"/>
    <xf numFmtId="0" fontId="17" fillId="5" borderId="12" xfId="0" applyFont="1" applyFill="1" applyBorder="1" applyAlignment="1">
      <alignment horizontal="center"/>
    </xf>
    <xf numFmtId="0" fontId="0" fillId="5" borderId="12" xfId="0" applyFill="1" applyBorder="1" applyAlignment="1">
      <alignment horizontal="center"/>
    </xf>
    <xf numFmtId="1" fontId="37" fillId="34" borderId="173" xfId="0" applyNumberFormat="1" applyFont="1" applyFill="1" applyBorder="1" applyAlignment="1">
      <alignment horizontal="center" vertical="center"/>
    </xf>
    <xf numFmtId="0" fontId="17" fillId="0" borderId="0" xfId="0" applyFont="1" applyBorder="1" applyAlignment="1"/>
    <xf numFmtId="0" fontId="17" fillId="6" borderId="12" xfId="0" applyFont="1" applyFill="1" applyBorder="1" applyAlignment="1">
      <alignment horizontal="center"/>
    </xf>
    <xf numFmtId="0" fontId="0" fillId="6" borderId="12" xfId="0" applyFill="1" applyBorder="1" applyAlignment="1">
      <alignment horizontal="center"/>
    </xf>
    <xf numFmtId="164" fontId="37" fillId="34" borderId="173" xfId="0" applyNumberFormat="1" applyFont="1" applyFill="1" applyBorder="1" applyAlignment="1">
      <alignment horizontal="center" vertical="center"/>
    </xf>
    <xf numFmtId="0" fontId="76" fillId="9" borderId="4" xfId="0" applyFont="1" applyFill="1" applyBorder="1" applyAlignment="1"/>
    <xf numFmtId="0" fontId="20" fillId="12" borderId="12" xfId="0" applyFont="1" applyFill="1" applyBorder="1" applyAlignment="1">
      <alignment horizontal="center" wrapText="1"/>
    </xf>
    <xf numFmtId="2" fontId="17" fillId="12" borderId="55" xfId="0" applyNumberFormat="1" applyFont="1" applyFill="1" applyBorder="1" applyAlignment="1">
      <alignment horizontal="center"/>
    </xf>
    <xf numFmtId="0" fontId="76" fillId="15" borderId="32" xfId="0" applyFont="1" applyFill="1" applyBorder="1" applyAlignment="1"/>
    <xf numFmtId="0" fontId="76" fillId="15" borderId="4" xfId="0" applyFont="1" applyFill="1" applyBorder="1" applyAlignment="1"/>
    <xf numFmtId="0" fontId="17" fillId="12" borderId="12" xfId="0" applyFont="1" applyFill="1" applyBorder="1" applyAlignment="1">
      <alignment horizontal="center"/>
    </xf>
    <xf numFmtId="0" fontId="0" fillId="12" borderId="12" xfId="0" applyFill="1" applyBorder="1" applyAlignment="1">
      <alignment horizontal="center"/>
    </xf>
    <xf numFmtId="164" fontId="17" fillId="4" borderId="12" xfId="0" applyNumberFormat="1" applyFont="1" applyFill="1" applyBorder="1" applyAlignment="1">
      <alignment horizontal="center"/>
    </xf>
    <xf numFmtId="0" fontId="20" fillId="13" borderId="12" xfId="0" applyFont="1" applyFill="1" applyBorder="1" applyAlignment="1">
      <alignment horizontal="center" wrapText="1"/>
    </xf>
    <xf numFmtId="2" fontId="17" fillId="13" borderId="12" xfId="0" applyNumberFormat="1" applyFont="1" applyFill="1" applyBorder="1" applyAlignment="1">
      <alignment horizontal="center"/>
    </xf>
    <xf numFmtId="164" fontId="17" fillId="13" borderId="12" xfId="0" applyNumberFormat="1" applyFont="1" applyFill="1" applyBorder="1" applyAlignment="1">
      <alignment horizontal="center"/>
    </xf>
    <xf numFmtId="0" fontId="41" fillId="0" borderId="0" xfId="0" applyFont="1" applyFill="1" applyAlignment="1">
      <alignment horizontal="center"/>
    </xf>
    <xf numFmtId="0" fontId="17" fillId="0" borderId="0" xfId="0" applyFont="1" applyFill="1" applyAlignment="1">
      <alignment horizontal="center"/>
    </xf>
    <xf numFmtId="0" fontId="20" fillId="11" borderId="85" xfId="0" applyFont="1" applyFill="1" applyBorder="1" applyAlignment="1">
      <alignment horizontal="center" wrapText="1"/>
    </xf>
    <xf numFmtId="0" fontId="76" fillId="4" borderId="26" xfId="0" applyFont="1" applyFill="1" applyBorder="1" applyAlignment="1"/>
    <xf numFmtId="0" fontId="17" fillId="0" borderId="0" xfId="0" applyFont="1" applyAlignment="1">
      <alignment vertical="center" wrapText="1"/>
    </xf>
    <xf numFmtId="166" fontId="38" fillId="0" borderId="59" xfId="0" applyNumberFormat="1" applyFont="1" applyBorder="1" applyAlignment="1" applyProtection="1">
      <alignment horizontal="center" vertical="center"/>
    </xf>
    <xf numFmtId="0" fontId="20" fillId="0" borderId="113" xfId="0" applyFont="1" applyBorder="1" applyAlignment="1" applyProtection="1">
      <alignment horizontal="center" vertical="center" wrapText="1"/>
    </xf>
    <xf numFmtId="0" fontId="17" fillId="0" borderId="0" xfId="0" applyFont="1" applyFill="1" applyBorder="1" applyAlignment="1" applyProtection="1">
      <alignment horizontal="center" vertical="center"/>
    </xf>
    <xf numFmtId="0" fontId="20" fillId="0" borderId="0" xfId="0" applyFont="1" applyFill="1" applyBorder="1" applyAlignment="1" applyProtection="1">
      <alignment horizontal="center" vertical="center" wrapText="1"/>
    </xf>
    <xf numFmtId="0" fontId="41" fillId="0" borderId="0" xfId="0" applyFont="1" applyBorder="1" applyAlignment="1" applyProtection="1">
      <alignment vertical="center"/>
    </xf>
    <xf numFmtId="0" fontId="33" fillId="0" borderId="0" xfId="0" applyFont="1" applyBorder="1" applyAlignment="1" applyProtection="1">
      <alignment horizontal="center" vertical="center" wrapText="1"/>
    </xf>
    <xf numFmtId="0" fontId="33" fillId="0" borderId="0" xfId="0" applyFont="1" applyBorder="1" applyAlignment="1" applyProtection="1">
      <alignment horizontal="center" vertical="center"/>
    </xf>
    <xf numFmtId="0" fontId="41" fillId="0" borderId="76" xfId="0" applyFont="1" applyFill="1" applyBorder="1" applyAlignment="1" applyProtection="1">
      <alignment horizontal="center" vertical="center"/>
    </xf>
    <xf numFmtId="0" fontId="41" fillId="0" borderId="0" xfId="0" applyFont="1" applyFill="1" applyBorder="1" applyAlignment="1" applyProtection="1">
      <alignment horizontal="center" vertical="center"/>
    </xf>
    <xf numFmtId="0" fontId="65" fillId="0" borderId="76" xfId="0" applyFont="1" applyFill="1" applyBorder="1" applyAlignment="1" applyProtection="1">
      <alignment horizontal="center" vertical="center"/>
    </xf>
    <xf numFmtId="0" fontId="65" fillId="0" borderId="0" xfId="0" applyFont="1" applyFill="1" applyBorder="1" applyAlignment="1" applyProtection="1">
      <alignment horizontal="center" vertical="center"/>
    </xf>
    <xf numFmtId="0" fontId="33" fillId="0" borderId="0" xfId="0" applyFont="1" applyFill="1" applyBorder="1" applyAlignment="1" applyProtection="1">
      <alignment horizontal="center" vertical="center"/>
    </xf>
    <xf numFmtId="0" fontId="77" fillId="0" borderId="76" xfId="0" applyFont="1" applyFill="1" applyBorder="1" applyAlignment="1" applyProtection="1">
      <alignment horizontal="center" vertical="center"/>
    </xf>
    <xf numFmtId="0" fontId="77" fillId="0" borderId="0" xfId="0" applyFont="1" applyFill="1" applyBorder="1" applyAlignment="1" applyProtection="1">
      <alignment horizontal="center" vertical="center"/>
    </xf>
    <xf numFmtId="166" fontId="33" fillId="0" borderId="0" xfId="0" applyNumberFormat="1" applyFont="1" applyFill="1" applyBorder="1" applyAlignment="1" applyProtection="1">
      <alignment horizontal="center" vertical="center"/>
    </xf>
    <xf numFmtId="0" fontId="33" fillId="0" borderId="0" xfId="0" applyFont="1" applyFill="1" applyBorder="1" applyAlignment="1" applyProtection="1">
      <alignment horizontal="center" vertical="center" wrapText="1"/>
    </xf>
    <xf numFmtId="0" fontId="41" fillId="0" borderId="76" xfId="0" applyFont="1" applyBorder="1" applyAlignment="1" applyProtection="1">
      <alignment horizontal="center" vertical="center"/>
    </xf>
    <xf numFmtId="0" fontId="41" fillId="0" borderId="0" xfId="0" applyFont="1" applyBorder="1" applyAlignment="1" applyProtection="1">
      <alignment horizontal="center" vertical="center"/>
    </xf>
    <xf numFmtId="166" fontId="41" fillId="0" borderId="0" xfId="0" applyNumberFormat="1" applyFont="1" applyBorder="1" applyAlignment="1" applyProtection="1">
      <alignment horizontal="center" vertical="center"/>
    </xf>
    <xf numFmtId="0" fontId="17" fillId="18" borderId="28" xfId="0" applyFont="1" applyFill="1" applyBorder="1" applyAlignment="1" applyProtection="1">
      <alignment horizontal="right" vertical="center"/>
    </xf>
    <xf numFmtId="0" fontId="37" fillId="2" borderId="0" xfId="0" applyFont="1" applyFill="1" applyAlignment="1">
      <alignment vertical="center"/>
    </xf>
    <xf numFmtId="0" fontId="20" fillId="0" borderId="33" xfId="2" applyFont="1" applyFill="1" applyBorder="1" applyAlignment="1" applyProtection="1">
      <alignment horizontal="left" vertical="center"/>
    </xf>
    <xf numFmtId="0" fontId="20" fillId="17" borderId="33" xfId="2" applyFont="1" applyFill="1" applyBorder="1" applyAlignment="1" applyProtection="1">
      <alignment vertical="center"/>
    </xf>
    <xf numFmtId="0" fontId="20" fillId="17" borderId="0" xfId="2" applyFont="1" applyFill="1" applyBorder="1" applyAlignment="1" applyProtection="1">
      <alignment vertical="center"/>
    </xf>
    <xf numFmtId="0" fontId="20" fillId="8" borderId="33" xfId="2" applyFont="1" applyFill="1" applyBorder="1" applyAlignment="1" applyProtection="1">
      <alignment horizontal="left" vertical="center"/>
    </xf>
    <xf numFmtId="0" fontId="20" fillId="8" borderId="0" xfId="2" applyFont="1" applyFill="1" applyBorder="1" applyAlignment="1" applyProtection="1">
      <alignment horizontal="left" vertical="center"/>
    </xf>
    <xf numFmtId="0" fontId="20" fillId="0" borderId="0" xfId="2" applyFont="1" applyBorder="1" applyAlignment="1" applyProtection="1">
      <alignment vertical="center"/>
      <protection locked="0"/>
    </xf>
    <xf numFmtId="0" fontId="20" fillId="18" borderId="33" xfId="2" applyFont="1" applyFill="1" applyBorder="1" applyAlignment="1" applyProtection="1">
      <alignment vertical="center"/>
    </xf>
    <xf numFmtId="0" fontId="20" fillId="18" borderId="0" xfId="2" applyFont="1" applyFill="1" applyBorder="1" applyAlignment="1" applyProtection="1">
      <alignment vertical="center"/>
    </xf>
    <xf numFmtId="0" fontId="20" fillId="19" borderId="33" xfId="2" applyFont="1" applyFill="1" applyBorder="1" applyAlignment="1" applyProtection="1">
      <alignment vertical="center"/>
    </xf>
    <xf numFmtId="0" fontId="20" fillId="19" borderId="0" xfId="2" applyFont="1" applyFill="1" applyBorder="1" applyAlignment="1" applyProtection="1">
      <alignment vertical="center"/>
    </xf>
    <xf numFmtId="0" fontId="17" fillId="0" borderId="39" xfId="0" applyFont="1" applyBorder="1" applyAlignment="1" applyProtection="1">
      <alignment horizontal="center" vertical="center"/>
    </xf>
    <xf numFmtId="0" fontId="39" fillId="17" borderId="9" xfId="0" applyFont="1" applyFill="1" applyBorder="1" applyAlignment="1" applyProtection="1">
      <alignment horizontal="center" vertical="center"/>
    </xf>
    <xf numFmtId="0" fontId="17" fillId="0" borderId="43" xfId="0" applyFont="1" applyBorder="1" applyAlignment="1" applyProtection="1">
      <alignment horizontal="center" vertical="center"/>
    </xf>
    <xf numFmtId="0" fontId="20" fillId="20" borderId="54" xfId="0" applyFont="1" applyFill="1" applyBorder="1" applyAlignment="1" applyProtection="1">
      <alignment horizontal="center" vertical="center"/>
    </xf>
    <xf numFmtId="0" fontId="20" fillId="20" borderId="41" xfId="0" applyFont="1" applyFill="1" applyBorder="1" applyAlignment="1" applyProtection="1">
      <alignment horizontal="center" vertical="center"/>
    </xf>
    <xf numFmtId="0" fontId="20" fillId="20" borderId="42" xfId="0" applyFont="1" applyFill="1" applyBorder="1" applyAlignment="1" applyProtection="1">
      <alignment horizontal="center" vertical="center"/>
    </xf>
    <xf numFmtId="0" fontId="20" fillId="20" borderId="40" xfId="0" applyFont="1" applyFill="1" applyBorder="1" applyAlignment="1" applyProtection="1">
      <alignment horizontal="center" vertical="center"/>
    </xf>
    <xf numFmtId="0" fontId="39" fillId="20" borderId="44" xfId="0" applyFont="1" applyFill="1" applyBorder="1" applyAlignment="1" applyProtection="1">
      <alignment horizontal="center" vertical="center"/>
    </xf>
    <xf numFmtId="0" fontId="39" fillId="20" borderId="47" xfId="0" applyFont="1" applyFill="1" applyBorder="1" applyAlignment="1" applyProtection="1">
      <alignment horizontal="center" vertical="center"/>
    </xf>
    <xf numFmtId="168" fontId="39" fillId="18" borderId="9" xfId="0" applyNumberFormat="1" applyFont="1" applyFill="1" applyBorder="1" applyAlignment="1" applyProtection="1">
      <alignment horizontal="center" vertical="center"/>
    </xf>
    <xf numFmtId="9" fontId="17" fillId="0" borderId="43" xfId="0" applyNumberFormat="1" applyFont="1" applyBorder="1" applyAlignment="1" applyProtection="1">
      <alignment horizontal="center" vertical="center"/>
    </xf>
    <xf numFmtId="0" fontId="17" fillId="20" borderId="44" xfId="0" applyFont="1" applyFill="1" applyBorder="1" applyAlignment="1" applyProtection="1">
      <alignment horizontal="center" vertical="center"/>
    </xf>
    <xf numFmtId="0" fontId="17" fillId="20" borderId="52" xfId="0" applyFont="1" applyFill="1" applyBorder="1" applyAlignment="1" applyProtection="1">
      <alignment horizontal="center" vertical="center"/>
    </xf>
    <xf numFmtId="1" fontId="39" fillId="17" borderId="9" xfId="0" applyNumberFormat="1" applyFont="1" applyFill="1" applyBorder="1" applyAlignment="1" applyProtection="1">
      <alignment horizontal="center" vertical="center"/>
    </xf>
    <xf numFmtId="164" fontId="39" fillId="17" borderId="9" xfId="0" applyNumberFormat="1" applyFont="1" applyFill="1" applyBorder="1" applyAlignment="1" applyProtection="1">
      <alignment horizontal="center" vertical="center"/>
    </xf>
    <xf numFmtId="0" fontId="17" fillId="0" borderId="56" xfId="0" applyFont="1" applyBorder="1" applyAlignment="1" applyProtection="1">
      <alignment horizontal="center" vertical="center"/>
    </xf>
    <xf numFmtId="0" fontId="20" fillId="20" borderId="0" xfId="0" applyFont="1" applyFill="1" applyBorder="1" applyAlignment="1" applyProtection="1">
      <alignment horizontal="center" vertical="center"/>
    </xf>
    <xf numFmtId="0" fontId="20" fillId="20" borderId="56" xfId="0" applyFont="1" applyFill="1" applyBorder="1" applyAlignment="1" applyProtection="1">
      <alignment horizontal="center" vertical="center"/>
    </xf>
    <xf numFmtId="0" fontId="20" fillId="20" borderId="33" xfId="0" applyFont="1" applyFill="1" applyBorder="1" applyAlignment="1" applyProtection="1">
      <alignment horizontal="center" vertical="center"/>
    </xf>
    <xf numFmtId="168" fontId="39" fillId="17" borderId="9" xfId="0" applyNumberFormat="1" applyFont="1" applyFill="1" applyBorder="1" applyAlignment="1" applyProtection="1">
      <alignment horizontal="center" vertical="center"/>
    </xf>
    <xf numFmtId="0" fontId="41" fillId="0" borderId="56" xfId="0" applyFont="1" applyFill="1" applyBorder="1" applyAlignment="1" applyProtection="1">
      <alignment horizontal="center" vertical="center"/>
    </xf>
    <xf numFmtId="166" fontId="39" fillId="6" borderId="19" xfId="0" applyNumberFormat="1" applyFont="1" applyFill="1" applyBorder="1" applyAlignment="1" applyProtection="1">
      <alignment horizontal="center" vertical="center"/>
    </xf>
    <xf numFmtId="0" fontId="39" fillId="20" borderId="58" xfId="0" applyFont="1" applyFill="1" applyBorder="1" applyAlignment="1" applyProtection="1">
      <alignment horizontal="center" vertical="center"/>
    </xf>
    <xf numFmtId="0" fontId="20" fillId="20" borderId="60" xfId="0" applyFont="1" applyFill="1" applyBorder="1" applyAlignment="1" applyProtection="1">
      <alignment horizontal="center" vertical="center" wrapText="1"/>
    </xf>
    <xf numFmtId="0" fontId="38" fillId="8" borderId="34" xfId="0" applyFont="1" applyFill="1" applyBorder="1" applyAlignment="1" applyProtection="1">
      <alignment vertical="center"/>
    </xf>
    <xf numFmtId="0" fontId="38" fillId="8" borderId="35" xfId="0" applyFont="1" applyFill="1" applyBorder="1" applyAlignment="1" applyProtection="1">
      <alignment horizontal="center" vertical="center"/>
    </xf>
    <xf numFmtId="0" fontId="17" fillId="8" borderId="64" xfId="0" applyFont="1" applyFill="1" applyBorder="1" applyAlignment="1" applyProtection="1">
      <alignment horizontal="center" vertical="center"/>
    </xf>
    <xf numFmtId="164" fontId="17" fillId="0" borderId="0" xfId="0" applyNumberFormat="1" applyFont="1" applyBorder="1" applyAlignment="1">
      <alignment horizontal="center" vertical="center"/>
    </xf>
    <xf numFmtId="0" fontId="17" fillId="8" borderId="65" xfId="0" applyFont="1" applyFill="1" applyBorder="1" applyAlignment="1" applyProtection="1">
      <alignment horizontal="center" vertical="center"/>
    </xf>
    <xf numFmtId="0" fontId="17" fillId="8" borderId="66" xfId="0" applyFont="1" applyFill="1" applyBorder="1" applyAlignment="1" applyProtection="1">
      <alignment horizontal="center" vertical="center"/>
    </xf>
    <xf numFmtId="0" fontId="17" fillId="8" borderId="21" xfId="0" applyFont="1" applyFill="1" applyBorder="1" applyAlignment="1" applyProtection="1">
      <alignment horizontal="center" vertical="center"/>
    </xf>
    <xf numFmtId="2" fontId="17" fillId="0" borderId="0" xfId="0" applyNumberFormat="1" applyFont="1" applyBorder="1" applyAlignment="1">
      <alignment horizontal="center" vertical="center"/>
    </xf>
    <xf numFmtId="0" fontId="17" fillId="18" borderId="54" xfId="0" applyFont="1" applyFill="1" applyBorder="1" applyAlignment="1" applyProtection="1">
      <alignment horizontal="right" vertical="center"/>
    </xf>
    <xf numFmtId="0" fontId="17" fillId="44" borderId="0" xfId="0" applyFont="1" applyFill="1" applyAlignment="1">
      <alignment vertical="center"/>
    </xf>
    <xf numFmtId="0" fontId="17" fillId="0" borderId="0" xfId="0" applyFont="1" applyAlignment="1">
      <alignment vertical="center"/>
    </xf>
    <xf numFmtId="0" fontId="20" fillId="20" borderId="6" xfId="0" applyFont="1" applyFill="1" applyBorder="1" applyAlignment="1" applyProtection="1">
      <alignment horizontal="center" vertical="center"/>
    </xf>
    <xf numFmtId="166" fontId="17" fillId="0" borderId="0" xfId="0" applyNumberFormat="1" applyFont="1" applyAlignment="1">
      <alignment vertical="center"/>
    </xf>
    <xf numFmtId="0" fontId="17" fillId="21" borderId="0" xfId="0" applyFont="1" applyFill="1" applyAlignment="1">
      <alignment vertical="center"/>
    </xf>
    <xf numFmtId="0" fontId="17" fillId="9" borderId="0" xfId="0" applyFont="1" applyFill="1" applyAlignment="1">
      <alignment vertical="center"/>
    </xf>
    <xf numFmtId="0" fontId="45" fillId="21" borderId="0" xfId="3" applyFont="1" applyFill="1" applyAlignment="1">
      <alignment vertical="center"/>
    </xf>
    <xf numFmtId="0" fontId="17" fillId="21" borderId="0" xfId="0" applyFont="1" applyFill="1" applyBorder="1" applyAlignment="1" applyProtection="1">
      <alignment horizontal="left" vertical="center"/>
    </xf>
    <xf numFmtId="0" fontId="17" fillId="21" borderId="11" xfId="0" applyFont="1" applyFill="1" applyBorder="1" applyAlignment="1">
      <alignment horizontal="center" vertical="center"/>
    </xf>
    <xf numFmtId="166" fontId="17" fillId="21" borderId="35" xfId="0" applyNumberFormat="1" applyFont="1" applyFill="1" applyBorder="1" applyAlignment="1">
      <alignment horizontal="center" vertical="center"/>
    </xf>
    <xf numFmtId="166" fontId="17" fillId="21" borderId="36" xfId="0" applyNumberFormat="1" applyFont="1" applyFill="1" applyBorder="1" applyAlignment="1">
      <alignment horizontal="center" vertical="center"/>
    </xf>
    <xf numFmtId="0" fontId="17" fillId="21" borderId="0" xfId="0" applyFont="1" applyFill="1" applyAlignment="1">
      <alignment horizontal="center" vertical="center" wrapText="1"/>
    </xf>
    <xf numFmtId="166" fontId="17" fillId="21" borderId="0" xfId="0" applyNumberFormat="1" applyFont="1" applyFill="1" applyAlignment="1">
      <alignment horizontal="center" vertical="center"/>
    </xf>
    <xf numFmtId="0" fontId="17" fillId="21" borderId="0" xfId="0" applyFont="1" applyFill="1" applyAlignment="1">
      <alignment horizontal="center" vertical="center"/>
    </xf>
    <xf numFmtId="0" fontId="17" fillId="9" borderId="0" xfId="0" applyFont="1" applyFill="1" applyAlignment="1">
      <alignment horizontal="right" vertical="center"/>
    </xf>
    <xf numFmtId="0" fontId="17" fillId="9" borderId="0" xfId="0" applyFont="1" applyFill="1" applyAlignment="1">
      <alignment horizontal="center" vertical="center"/>
    </xf>
    <xf numFmtId="0" fontId="17" fillId="21" borderId="41" xfId="0" applyFont="1" applyFill="1" applyBorder="1" applyAlignment="1">
      <alignment vertical="center"/>
    </xf>
    <xf numFmtId="166" fontId="20" fillId="21" borderId="69" xfId="0" applyNumberFormat="1" applyFont="1" applyFill="1" applyBorder="1" applyAlignment="1">
      <alignment horizontal="center" vertical="center"/>
    </xf>
    <xf numFmtId="0" fontId="17" fillId="0" borderId="28" xfId="0" applyFont="1" applyFill="1" applyBorder="1" applyAlignment="1" applyProtection="1">
      <alignment horizontal="right" vertical="center"/>
    </xf>
    <xf numFmtId="0" fontId="38" fillId="0" borderId="29" xfId="0" applyFont="1" applyFill="1" applyBorder="1" applyAlignment="1" applyProtection="1">
      <alignment horizontal="center" vertical="center"/>
    </xf>
    <xf numFmtId="0" fontId="38" fillId="0" borderId="28" xfId="0" applyFont="1" applyFill="1" applyBorder="1" applyAlignment="1" applyProtection="1">
      <alignment horizontal="center" vertical="center" wrapText="1"/>
    </xf>
    <xf numFmtId="4" fontId="38" fillId="0" borderId="29" xfId="0" applyNumberFormat="1" applyFont="1" applyFill="1" applyBorder="1" applyAlignment="1" applyProtection="1">
      <alignment horizontal="center" vertical="center" wrapText="1"/>
    </xf>
    <xf numFmtId="0" fontId="33" fillId="0" borderId="33" xfId="0" applyFont="1" applyFill="1" applyBorder="1" applyAlignment="1" applyProtection="1">
      <alignment horizontal="left" vertical="center"/>
    </xf>
    <xf numFmtId="0" fontId="33" fillId="0" borderId="0" xfId="0" applyFont="1" applyFill="1" applyBorder="1" applyAlignment="1" applyProtection="1">
      <alignment horizontal="left" vertical="center"/>
    </xf>
    <xf numFmtId="0" fontId="17" fillId="18" borderId="34" xfId="0" applyFont="1" applyFill="1" applyBorder="1" applyAlignment="1" applyProtection="1">
      <alignment horizontal="right" vertical="center"/>
    </xf>
    <xf numFmtId="4" fontId="38" fillId="0" borderId="0" xfId="0" applyNumberFormat="1" applyFont="1" applyFill="1" applyBorder="1" applyAlignment="1" applyProtection="1">
      <alignment horizontal="center" vertical="center" wrapText="1"/>
    </xf>
    <xf numFmtId="0" fontId="38" fillId="0" borderId="0" xfId="0" applyFont="1" applyFill="1" applyBorder="1" applyAlignment="1" applyProtection="1">
      <alignment horizontal="center" vertical="center"/>
    </xf>
    <xf numFmtId="164" fontId="17" fillId="0" borderId="0" xfId="0" applyNumberFormat="1" applyFont="1" applyFill="1" applyBorder="1" applyAlignment="1">
      <alignment horizontal="center" vertical="center"/>
    </xf>
    <xf numFmtId="2" fontId="17" fillId="0" borderId="0" xfId="0" applyNumberFormat="1" applyFont="1" applyFill="1" applyBorder="1" applyAlignment="1">
      <alignment horizontal="center" vertical="center"/>
    </xf>
    <xf numFmtId="0" fontId="44" fillId="0" borderId="0" xfId="0" applyFont="1" applyFill="1" applyBorder="1" applyAlignment="1" applyProtection="1">
      <alignment horizontal="left" vertical="center" wrapText="1"/>
    </xf>
    <xf numFmtId="0" fontId="17" fillId="0" borderId="0" xfId="0" applyFont="1" applyFill="1" applyBorder="1" applyAlignment="1">
      <alignment horizontal="left" vertical="center" wrapText="1"/>
    </xf>
    <xf numFmtId="9" fontId="17" fillId="0" borderId="0" xfId="0" applyNumberFormat="1" applyFont="1" applyFill="1" applyBorder="1" applyAlignment="1" applyProtection="1">
      <alignment horizontal="center" vertical="center"/>
    </xf>
    <xf numFmtId="166" fontId="39" fillId="0" borderId="0" xfId="0" applyNumberFormat="1" applyFont="1" applyFill="1" applyBorder="1" applyAlignment="1" applyProtection="1">
      <alignment horizontal="center" vertical="center"/>
    </xf>
    <xf numFmtId="0" fontId="33" fillId="0" borderId="28" xfId="0" applyFont="1" applyBorder="1" applyAlignment="1" applyProtection="1">
      <alignment horizontal="left" vertical="center"/>
    </xf>
    <xf numFmtId="0" fontId="33" fillId="0" borderId="29" xfId="0" applyFont="1" applyBorder="1" applyAlignment="1" applyProtection="1">
      <alignment horizontal="left" vertical="center"/>
    </xf>
    <xf numFmtId="0" fontId="17" fillId="0" borderId="30" xfId="0" applyFont="1" applyBorder="1" applyAlignment="1" applyProtection="1">
      <alignment horizontal="center" vertical="center"/>
    </xf>
    <xf numFmtId="0" fontId="38" fillId="17" borderId="30" xfId="0" applyFont="1" applyFill="1" applyBorder="1" applyAlignment="1" applyProtection="1">
      <alignment horizontal="center" vertical="center" wrapText="1"/>
    </xf>
    <xf numFmtId="0" fontId="39" fillId="0" borderId="0" xfId="0" applyFont="1" applyFill="1" applyBorder="1" applyAlignment="1" applyProtection="1">
      <alignment horizontal="center" vertical="center"/>
    </xf>
    <xf numFmtId="166" fontId="41" fillId="0" borderId="0" xfId="0" applyNumberFormat="1" applyFont="1" applyFill="1" applyBorder="1" applyAlignment="1" applyProtection="1">
      <alignment horizontal="center" vertical="center"/>
    </xf>
    <xf numFmtId="0" fontId="20" fillId="20" borderId="55" xfId="0" applyFont="1" applyFill="1" applyBorder="1" applyAlignment="1" applyProtection="1">
      <alignment horizontal="center" vertical="center"/>
    </xf>
    <xf numFmtId="0" fontId="17" fillId="0" borderId="0" xfId="0" applyFont="1" applyAlignment="1">
      <alignment vertical="center"/>
    </xf>
    <xf numFmtId="0" fontId="73" fillId="0" borderId="0" xfId="2" applyFont="1" applyFill="1" applyBorder="1" applyAlignment="1" applyProtection="1">
      <alignment vertical="center" wrapText="1"/>
    </xf>
    <xf numFmtId="0" fontId="20" fillId="0" borderId="0" xfId="0" applyFont="1" applyBorder="1" applyAlignment="1">
      <alignment horizontal="right" vertical="center"/>
    </xf>
    <xf numFmtId="0" fontId="79" fillId="0" borderId="0" xfId="2" applyFont="1" applyAlignment="1" applyProtection="1">
      <alignment vertical="center"/>
    </xf>
    <xf numFmtId="0" fontId="17" fillId="0" borderId="0" xfId="0" applyFont="1" applyAlignment="1">
      <alignment vertical="center"/>
    </xf>
    <xf numFmtId="0" fontId="76" fillId="0" borderId="0" xfId="0" applyFont="1" applyAlignment="1">
      <alignment vertical="center"/>
    </xf>
    <xf numFmtId="0" fontId="37" fillId="0" borderId="0" xfId="0" applyFont="1" applyAlignment="1">
      <alignment vertical="center"/>
    </xf>
    <xf numFmtId="0" fontId="37" fillId="0" borderId="0" xfId="0" applyFont="1" applyAlignment="1">
      <alignment vertical="center" wrapText="1"/>
    </xf>
    <xf numFmtId="0" fontId="17" fillId="0" borderId="0" xfId="0" applyFont="1" applyAlignment="1">
      <alignment vertical="center"/>
    </xf>
    <xf numFmtId="0" fontId="17" fillId="0" borderId="0" xfId="0" applyFont="1" applyFill="1" applyBorder="1" applyAlignment="1">
      <alignment vertical="center" wrapText="1"/>
    </xf>
    <xf numFmtId="0" fontId="17" fillId="0" borderId="0" xfId="0" applyFont="1" applyFill="1" applyBorder="1" applyAlignment="1">
      <alignment vertical="center"/>
    </xf>
    <xf numFmtId="0" fontId="17" fillId="0" borderId="0" xfId="0" applyFont="1" applyAlignment="1">
      <alignment vertical="center"/>
    </xf>
    <xf numFmtId="0" fontId="20" fillId="0" borderId="0" xfId="0" applyFont="1" applyFill="1" applyBorder="1" applyAlignment="1">
      <alignment horizontal="center" vertical="center"/>
    </xf>
    <xf numFmtId="0" fontId="81" fillId="0" borderId="0" xfId="0" applyFont="1" applyAlignment="1">
      <alignment vertical="center"/>
    </xf>
    <xf numFmtId="0" fontId="17" fillId="46" borderId="208" xfId="0" applyFont="1" applyFill="1" applyBorder="1" applyAlignment="1">
      <alignment vertical="center"/>
    </xf>
    <xf numFmtId="0" fontId="17" fillId="46" borderId="209" xfId="0" applyFont="1" applyFill="1" applyBorder="1" applyAlignment="1">
      <alignment vertical="center"/>
    </xf>
    <xf numFmtId="0" fontId="17" fillId="46" borderId="210" xfId="0" applyFont="1" applyFill="1" applyBorder="1" applyAlignment="1">
      <alignment vertical="center"/>
    </xf>
    <xf numFmtId="0" fontId="17" fillId="46" borderId="0" xfId="0" applyFont="1" applyFill="1" applyBorder="1" applyAlignment="1">
      <alignment vertical="center"/>
    </xf>
    <xf numFmtId="0" fontId="17" fillId="46" borderId="211" xfId="0" applyFont="1" applyFill="1" applyBorder="1" applyAlignment="1">
      <alignment vertical="center"/>
    </xf>
    <xf numFmtId="0" fontId="17" fillId="46" borderId="210" xfId="0" applyFont="1" applyFill="1" applyBorder="1" applyAlignment="1">
      <alignment vertical="center" wrapText="1"/>
    </xf>
    <xf numFmtId="0" fontId="17" fillId="46" borderId="0" xfId="0" applyFont="1" applyFill="1" applyBorder="1" applyAlignment="1">
      <alignment vertical="center" wrapText="1"/>
    </xf>
    <xf numFmtId="0" fontId="20" fillId="46" borderId="0" xfId="0" applyFont="1" applyFill="1" applyBorder="1" applyAlignment="1">
      <alignment vertical="center"/>
    </xf>
    <xf numFmtId="0" fontId="17" fillId="46" borderId="0" xfId="0" applyFont="1" applyFill="1" applyBorder="1" applyAlignment="1">
      <alignment horizontal="center" vertical="center"/>
    </xf>
    <xf numFmtId="0" fontId="17" fillId="46" borderId="213" xfId="0" applyFont="1" applyFill="1" applyBorder="1" applyAlignment="1">
      <alignment vertical="center" wrapText="1"/>
    </xf>
    <xf numFmtId="0" fontId="17" fillId="46" borderId="199" xfId="0" applyFont="1" applyFill="1" applyBorder="1" applyAlignment="1">
      <alignment vertical="center" wrapText="1"/>
    </xf>
    <xf numFmtId="0" fontId="20" fillId="46" borderId="199" xfId="0" applyFont="1" applyFill="1" applyBorder="1" applyAlignment="1">
      <alignment vertical="center"/>
    </xf>
    <xf numFmtId="0" fontId="17" fillId="46" borderId="217" xfId="0" applyFont="1" applyFill="1" applyBorder="1" applyAlignment="1">
      <alignment vertical="center" wrapText="1"/>
    </xf>
    <xf numFmtId="0" fontId="17" fillId="46" borderId="147" xfId="0" applyFont="1" applyFill="1" applyBorder="1" applyAlignment="1">
      <alignment vertical="center" wrapText="1"/>
    </xf>
    <xf numFmtId="0" fontId="20" fillId="46" borderId="147" xfId="0" applyFont="1" applyFill="1" applyBorder="1" applyAlignment="1">
      <alignment horizontal="center" vertical="center"/>
    </xf>
    <xf numFmtId="0" fontId="17" fillId="46" borderId="147" xfId="0" applyFont="1" applyFill="1" applyBorder="1" applyAlignment="1">
      <alignment vertical="center"/>
    </xf>
    <xf numFmtId="0" fontId="17" fillId="46" borderId="218" xfId="0" applyFont="1" applyFill="1" applyBorder="1" applyAlignment="1">
      <alignment vertical="center" wrapText="1"/>
    </xf>
    <xf numFmtId="0" fontId="83" fillId="46" borderId="207" xfId="0" applyFont="1" applyFill="1" applyBorder="1" applyAlignment="1">
      <alignment vertical="center"/>
    </xf>
    <xf numFmtId="0" fontId="17" fillId="17" borderId="205" xfId="0" applyFont="1" applyFill="1" applyBorder="1" applyAlignment="1">
      <alignment horizontal="center" vertical="center"/>
    </xf>
    <xf numFmtId="0" fontId="17" fillId="17" borderId="204" xfId="0" applyFont="1" applyFill="1" applyBorder="1" applyAlignment="1">
      <alignment horizontal="center" vertical="center"/>
    </xf>
    <xf numFmtId="0" fontId="17" fillId="46" borderId="203" xfId="0" applyFont="1" applyFill="1" applyBorder="1" applyAlignment="1">
      <alignment horizontal="center" vertical="center"/>
    </xf>
    <xf numFmtId="0" fontId="17" fillId="46" borderId="0" xfId="0" applyFont="1" applyFill="1" applyAlignment="1">
      <alignment vertical="center"/>
    </xf>
    <xf numFmtId="0" fontId="17" fillId="46" borderId="214" xfId="0" applyFont="1" applyFill="1" applyBorder="1" applyAlignment="1">
      <alignment vertical="center" wrapText="1"/>
    </xf>
    <xf numFmtId="0" fontId="17" fillId="14" borderId="225" xfId="0" applyFont="1" applyFill="1" applyBorder="1" applyAlignment="1">
      <alignment vertical="center" wrapText="1"/>
    </xf>
    <xf numFmtId="0" fontId="20" fillId="14" borderId="225" xfId="0" applyFont="1" applyFill="1" applyBorder="1" applyAlignment="1">
      <alignment horizontal="center" vertical="center"/>
    </xf>
    <xf numFmtId="0" fontId="17" fillId="14" borderId="225" xfId="0" applyFont="1" applyFill="1" applyBorder="1" applyAlignment="1">
      <alignment vertical="center"/>
    </xf>
    <xf numFmtId="0" fontId="17" fillId="14" borderId="227" xfId="0" applyFont="1" applyFill="1" applyBorder="1" applyAlignment="1">
      <alignment vertical="center"/>
    </xf>
    <xf numFmtId="0" fontId="17" fillId="14" borderId="0" xfId="0" applyFont="1" applyFill="1" applyBorder="1" applyAlignment="1">
      <alignment vertical="center"/>
    </xf>
    <xf numFmtId="0" fontId="17" fillId="14" borderId="0" xfId="0" applyFont="1" applyFill="1" applyBorder="1" applyAlignment="1">
      <alignment horizontal="center" vertical="center" wrapText="1"/>
    </xf>
    <xf numFmtId="0" fontId="17" fillId="14" borderId="226" xfId="0" applyFont="1" applyFill="1" applyBorder="1" applyAlignment="1">
      <alignment vertical="center" wrapText="1"/>
    </xf>
    <xf numFmtId="0" fontId="17" fillId="14" borderId="228" xfId="0" applyFont="1" applyFill="1" applyBorder="1" applyAlignment="1">
      <alignment vertical="center"/>
    </xf>
    <xf numFmtId="0" fontId="17" fillId="14" borderId="232" xfId="0" applyFont="1" applyFill="1" applyBorder="1" applyAlignment="1">
      <alignment vertical="center"/>
    </xf>
    <xf numFmtId="0" fontId="17" fillId="14" borderId="230" xfId="0" applyFont="1" applyFill="1" applyBorder="1" applyAlignment="1">
      <alignment vertical="center"/>
    </xf>
    <xf numFmtId="0" fontId="17" fillId="14" borderId="231" xfId="0" applyFont="1" applyFill="1" applyBorder="1" applyAlignment="1">
      <alignment vertical="center"/>
    </xf>
    <xf numFmtId="165" fontId="20" fillId="9" borderId="184" xfId="0" applyNumberFormat="1" applyFont="1" applyFill="1" applyBorder="1" applyAlignment="1">
      <alignment horizontal="center" vertical="center"/>
    </xf>
    <xf numFmtId="165" fontId="20" fillId="9" borderId="183" xfId="0" applyNumberFormat="1" applyFont="1" applyFill="1" applyBorder="1" applyAlignment="1">
      <alignment horizontal="center" vertical="center"/>
    </xf>
    <xf numFmtId="0" fontId="84" fillId="14" borderId="224" xfId="0" applyFont="1" applyFill="1" applyBorder="1" applyAlignment="1">
      <alignment vertical="center"/>
    </xf>
    <xf numFmtId="0" fontId="17" fillId="3" borderId="237" xfId="0" applyFont="1" applyFill="1" applyBorder="1" applyAlignment="1">
      <alignment vertical="center"/>
    </xf>
    <xf numFmtId="0" fontId="17" fillId="3" borderId="0" xfId="0" applyFont="1" applyFill="1" applyBorder="1" applyAlignment="1">
      <alignment vertical="center"/>
    </xf>
    <xf numFmtId="0" fontId="17" fillId="3" borderId="238" xfId="0" applyFont="1" applyFill="1" applyBorder="1" applyAlignment="1">
      <alignment vertical="center"/>
    </xf>
    <xf numFmtId="0" fontId="17" fillId="3" borderId="237" xfId="0" applyFont="1" applyFill="1" applyBorder="1" applyAlignment="1">
      <alignment vertical="center" wrapText="1"/>
    </xf>
    <xf numFmtId="0" fontId="17" fillId="3" borderId="239" xfId="0" applyFont="1" applyFill="1" applyBorder="1" applyAlignment="1">
      <alignment vertical="center"/>
    </xf>
    <xf numFmtId="0" fontId="17" fillId="3" borderId="0" xfId="0" applyFont="1" applyFill="1" applyBorder="1" applyAlignment="1">
      <alignment horizontal="center" vertical="center" wrapText="1"/>
    </xf>
    <xf numFmtId="0" fontId="17" fillId="3" borderId="0" xfId="0" applyFont="1" applyFill="1" applyBorder="1" applyAlignment="1">
      <alignment vertical="center" wrapText="1"/>
    </xf>
    <xf numFmtId="0" fontId="17" fillId="3" borderId="156" xfId="0" applyFont="1" applyFill="1" applyBorder="1" applyAlignment="1">
      <alignment vertical="center"/>
    </xf>
    <xf numFmtId="0" fontId="17" fillId="3" borderId="238" xfId="0" applyFont="1" applyFill="1" applyBorder="1" applyAlignment="1">
      <alignment horizontal="center" vertical="center" wrapText="1"/>
    </xf>
    <xf numFmtId="0" fontId="36" fillId="3" borderId="238" xfId="0" applyFont="1" applyFill="1" applyBorder="1" applyAlignment="1">
      <alignment horizontal="center" vertical="center" wrapText="1"/>
    </xf>
    <xf numFmtId="165" fontId="17" fillId="3" borderId="238" xfId="0" applyNumberFormat="1" applyFont="1" applyFill="1" applyBorder="1" applyAlignment="1">
      <alignment vertical="center"/>
    </xf>
    <xf numFmtId="0" fontId="17" fillId="3" borderId="240" xfId="0" applyFont="1" applyFill="1" applyBorder="1" applyAlignment="1">
      <alignment vertical="center"/>
    </xf>
    <xf numFmtId="3" fontId="17" fillId="15" borderId="193" xfId="0" applyNumberFormat="1" applyFont="1" applyFill="1" applyBorder="1" applyAlignment="1">
      <alignment vertical="center"/>
    </xf>
    <xf numFmtId="0" fontId="17" fillId="15" borderId="193" xfId="0" applyFont="1" applyFill="1" applyBorder="1" applyAlignment="1">
      <alignment vertical="center"/>
    </xf>
    <xf numFmtId="165" fontId="17" fillId="15" borderId="193" xfId="0" applyNumberFormat="1" applyFont="1" applyFill="1" applyBorder="1" applyAlignment="1">
      <alignment vertical="center"/>
    </xf>
    <xf numFmtId="0" fontId="17" fillId="0" borderId="74" xfId="0" applyFont="1" applyBorder="1" applyAlignment="1">
      <alignment vertical="center"/>
    </xf>
    <xf numFmtId="0" fontId="17" fillId="0" borderId="75" xfId="0" applyFont="1" applyBorder="1" applyAlignment="1">
      <alignment vertical="center"/>
    </xf>
    <xf numFmtId="0" fontId="36" fillId="0" borderId="73" xfId="0" applyFont="1" applyBorder="1" applyAlignment="1">
      <alignment vertical="center"/>
    </xf>
    <xf numFmtId="0" fontId="86" fillId="0" borderId="0" xfId="2" applyFont="1" applyFill="1" applyAlignment="1" applyProtection="1">
      <alignment vertical="center"/>
    </xf>
    <xf numFmtId="0" fontId="86" fillId="0" borderId="0" xfId="2" applyFont="1" applyFill="1" applyBorder="1" applyAlignment="1" applyProtection="1">
      <alignment horizontal="left" vertical="center" wrapText="1"/>
    </xf>
    <xf numFmtId="0" fontId="17" fillId="46" borderId="210" xfId="0" applyFont="1" applyFill="1" applyBorder="1" applyAlignment="1">
      <alignment horizontal="right" vertical="center" wrapText="1"/>
    </xf>
    <xf numFmtId="0" fontId="17" fillId="46" borderId="0" xfId="0" applyFont="1" applyFill="1" applyBorder="1" applyAlignment="1">
      <alignment horizontal="right" vertical="center" wrapText="1"/>
    </xf>
    <xf numFmtId="0" fontId="17" fillId="46" borderId="211" xfId="0" applyFont="1" applyFill="1" applyBorder="1" applyAlignment="1">
      <alignment vertical="center" wrapText="1"/>
    </xf>
    <xf numFmtId="0" fontId="87" fillId="0" borderId="147" xfId="2" applyFont="1" applyFill="1" applyBorder="1" applyAlignment="1" applyProtection="1">
      <alignment horizontal="left" vertical="center"/>
    </xf>
    <xf numFmtId="0" fontId="38" fillId="16" borderId="21" xfId="0" applyFont="1" applyFill="1" applyBorder="1" applyAlignment="1" applyProtection="1">
      <alignment horizontal="center" vertical="center"/>
    </xf>
    <xf numFmtId="0" fontId="17" fillId="16" borderId="244" xfId="0" applyFont="1" applyFill="1" applyBorder="1" applyAlignment="1">
      <alignment vertical="center"/>
    </xf>
    <xf numFmtId="0" fontId="38" fillId="0" borderId="245" xfId="0" applyFont="1" applyBorder="1" applyAlignment="1" applyProtection="1">
      <alignment horizontal="left" vertical="center"/>
    </xf>
    <xf numFmtId="0" fontId="38" fillId="0" borderId="246" xfId="0" applyFont="1" applyBorder="1" applyAlignment="1" applyProtection="1">
      <alignment horizontal="left" vertical="center"/>
    </xf>
    <xf numFmtId="0" fontId="39" fillId="17" borderId="247" xfId="0" applyFont="1" applyFill="1" applyBorder="1" applyAlignment="1" applyProtection="1">
      <alignment horizontal="center" vertical="center"/>
    </xf>
    <xf numFmtId="0" fontId="39" fillId="17" borderId="249" xfId="0" applyFont="1" applyFill="1" applyBorder="1" applyAlignment="1" applyProtection="1">
      <alignment horizontal="center" vertical="center"/>
    </xf>
    <xf numFmtId="0" fontId="39" fillId="17" borderId="251" xfId="0" applyFont="1" applyFill="1" applyBorder="1" applyAlignment="1" applyProtection="1">
      <alignment horizontal="center" vertical="center"/>
    </xf>
    <xf numFmtId="0" fontId="39" fillId="0" borderId="252" xfId="0" applyFont="1" applyBorder="1" applyAlignment="1" applyProtection="1">
      <alignment horizontal="left" vertical="center" wrapText="1"/>
    </xf>
    <xf numFmtId="0" fontId="38" fillId="0" borderId="253" xfId="0" applyFont="1" applyBorder="1" applyAlignment="1" applyProtection="1">
      <alignment horizontal="left" vertical="center" wrapText="1"/>
    </xf>
    <xf numFmtId="0" fontId="39" fillId="0" borderId="254" xfId="0" applyFont="1" applyBorder="1" applyAlignment="1" applyProtection="1">
      <alignment horizontal="left" vertical="center" wrapText="1"/>
    </xf>
    <xf numFmtId="0" fontId="38" fillId="0" borderId="255" xfId="0" applyFont="1" applyBorder="1" applyAlignment="1" applyProtection="1">
      <alignment horizontal="left" vertical="center" wrapText="1"/>
    </xf>
    <xf numFmtId="0" fontId="39" fillId="17" borderId="256" xfId="0" applyFont="1" applyFill="1" applyBorder="1" applyAlignment="1" applyProtection="1">
      <alignment horizontal="center" vertical="center"/>
    </xf>
    <xf numFmtId="0" fontId="17" fillId="0" borderId="0" xfId="0" applyFont="1" applyAlignment="1">
      <alignment vertical="center"/>
    </xf>
    <xf numFmtId="0" fontId="76" fillId="7" borderId="0" xfId="0" applyFont="1" applyFill="1" applyAlignment="1">
      <alignment vertical="center"/>
    </xf>
    <xf numFmtId="0" fontId="17" fillId="7" borderId="0" xfId="0" applyFont="1" applyFill="1" applyAlignment="1">
      <alignment vertical="center"/>
    </xf>
    <xf numFmtId="0" fontId="17" fillId="0" borderId="0" xfId="0" applyFont="1" applyAlignment="1">
      <alignment vertical="center"/>
    </xf>
    <xf numFmtId="0" fontId="88" fillId="0" borderId="0" xfId="2" applyFont="1" applyFill="1" applyBorder="1" applyAlignment="1" applyProtection="1">
      <alignment horizontal="left" vertical="center"/>
    </xf>
    <xf numFmtId="49" fontId="29" fillId="0" borderId="180" xfId="0" applyNumberFormat="1" applyFont="1" applyFill="1" applyBorder="1" applyAlignment="1">
      <alignment horizontal="left" vertical="top"/>
    </xf>
    <xf numFmtId="0" fontId="29" fillId="0" borderId="0" xfId="0" applyFont="1" applyBorder="1" applyAlignment="1">
      <alignment vertical="center"/>
    </xf>
    <xf numFmtId="0" fontId="29" fillId="0" borderId="68" xfId="0" applyFont="1" applyFill="1" applyBorder="1" applyAlignment="1">
      <alignment horizontal="left" vertical="top"/>
    </xf>
    <xf numFmtId="0" fontId="29" fillId="0" borderId="0" xfId="0" applyFont="1" applyBorder="1" applyAlignment="1">
      <alignment horizontal="left" vertical="top"/>
    </xf>
    <xf numFmtId="0" fontId="29" fillId="0" borderId="84" xfId="0" applyFont="1" applyFill="1" applyBorder="1" applyAlignment="1">
      <alignment horizontal="left" vertical="top"/>
    </xf>
    <xf numFmtId="0" fontId="29" fillId="0" borderId="41" xfId="0" applyFont="1" applyFill="1" applyBorder="1" applyAlignment="1">
      <alignment horizontal="left" vertical="top" wrapText="1"/>
    </xf>
    <xf numFmtId="49" fontId="29" fillId="0" borderId="0" xfId="0" applyNumberFormat="1" applyFont="1" applyFill="1" applyBorder="1" applyAlignment="1">
      <alignment horizontal="left" vertical="top"/>
    </xf>
    <xf numFmtId="49" fontId="29" fillId="0" borderId="1" xfId="0" applyNumberFormat="1" applyFont="1" applyFill="1" applyBorder="1" applyAlignment="1">
      <alignment horizontal="left" vertical="top"/>
    </xf>
    <xf numFmtId="49" fontId="29" fillId="0" borderId="181" xfId="0" applyNumberFormat="1" applyFont="1" applyFill="1" applyBorder="1" applyAlignment="1">
      <alignment horizontal="left" vertical="top"/>
    </xf>
    <xf numFmtId="0" fontId="29" fillId="0" borderId="84" xfId="0" applyFont="1" applyFill="1" applyBorder="1" applyAlignment="1">
      <alignment horizontal="left" vertical="center"/>
    </xf>
    <xf numFmtId="0" fontId="29" fillId="0" borderId="68" xfId="0" applyFont="1" applyFill="1" applyBorder="1" applyAlignment="1">
      <alignment vertical="center"/>
    </xf>
    <xf numFmtId="49" fontId="29" fillId="0" borderId="182" xfId="0" applyNumberFormat="1" applyFont="1" applyFill="1" applyBorder="1" applyAlignment="1">
      <alignment horizontal="left" vertical="top"/>
    </xf>
    <xf numFmtId="0" fontId="29" fillId="0" borderId="84" xfId="0" applyFont="1" applyFill="1" applyBorder="1" applyAlignment="1">
      <alignment vertical="center"/>
    </xf>
    <xf numFmtId="0" fontId="29" fillId="0" borderId="0" xfId="0" applyFont="1" applyAlignment="1">
      <alignment vertical="center"/>
    </xf>
    <xf numFmtId="49" fontId="29" fillId="0" borderId="5" xfId="0" applyNumberFormat="1" applyFont="1" applyFill="1" applyBorder="1" applyAlignment="1">
      <alignment horizontal="left" vertical="top"/>
    </xf>
    <xf numFmtId="49" fontId="29" fillId="0" borderId="181" xfId="0" applyNumberFormat="1" applyFont="1" applyBorder="1" applyAlignment="1">
      <alignment horizontal="left" vertical="top"/>
    </xf>
    <xf numFmtId="0" fontId="29" fillId="0" borderId="68" xfId="0" applyFont="1" applyBorder="1" applyAlignment="1">
      <alignment vertical="center"/>
    </xf>
    <xf numFmtId="0" fontId="29" fillId="0" borderId="0" xfId="0" applyFont="1" applyBorder="1" applyAlignment="1">
      <alignment vertical="top" wrapText="1"/>
    </xf>
    <xf numFmtId="0" fontId="29" fillId="0" borderId="84" xfId="0" applyFont="1" applyBorder="1" applyAlignment="1">
      <alignment vertical="center"/>
    </xf>
    <xf numFmtId="0" fontId="29" fillId="0" borderId="41" xfId="0" applyFont="1" applyBorder="1" applyAlignment="1">
      <alignment vertical="top" wrapText="1"/>
    </xf>
    <xf numFmtId="0" fontId="17" fillId="0" borderId="0" xfId="0" applyFont="1" applyFill="1" applyAlignment="1">
      <alignment horizontal="right" vertical="center"/>
    </xf>
    <xf numFmtId="14" fontId="17" fillId="0" borderId="0" xfId="0" applyNumberFormat="1" applyFont="1" applyFill="1" applyAlignment="1">
      <alignment vertical="center"/>
    </xf>
    <xf numFmtId="0" fontId="20" fillId="8" borderId="6" xfId="2" applyFont="1" applyFill="1" applyBorder="1" applyAlignment="1" applyProtection="1">
      <alignment horizontal="right" vertical="center"/>
      <protection locked="0"/>
    </xf>
    <xf numFmtId="14" fontId="17" fillId="8" borderId="6" xfId="0" applyNumberFormat="1" applyFont="1" applyFill="1" applyBorder="1" applyAlignment="1">
      <alignment horizontal="right" vertical="center"/>
    </xf>
    <xf numFmtId="14" fontId="17" fillId="8" borderId="6" xfId="0" applyNumberFormat="1" applyFont="1" applyFill="1" applyBorder="1" applyAlignment="1">
      <alignment horizontal="left" vertical="center"/>
    </xf>
    <xf numFmtId="0" fontId="15" fillId="8" borderId="6" xfId="2" applyFont="1" applyFill="1" applyBorder="1" applyAlignment="1" applyProtection="1">
      <alignment horizontal="right" vertical="center"/>
      <protection locked="0"/>
    </xf>
    <xf numFmtId="14" fontId="16" fillId="8" borderId="6" xfId="0" applyNumberFormat="1" applyFont="1" applyFill="1" applyBorder="1" applyAlignment="1">
      <alignment horizontal="right" vertical="center"/>
    </xf>
    <xf numFmtId="14" fontId="16" fillId="8" borderId="6" xfId="0" applyNumberFormat="1" applyFont="1" applyFill="1" applyBorder="1" applyAlignment="1">
      <alignment horizontal="left" vertical="center"/>
    </xf>
    <xf numFmtId="0" fontId="91" fillId="0" borderId="0" xfId="2" applyFont="1" applyFill="1" applyBorder="1" applyAlignment="1" applyProtection="1">
      <alignment horizontal="left" vertical="center" wrapText="1"/>
    </xf>
    <xf numFmtId="0" fontId="87" fillId="0" borderId="0" xfId="2" applyFont="1" applyFill="1" applyBorder="1" applyAlignment="1" applyProtection="1">
      <alignment horizontal="left" vertical="center"/>
    </xf>
    <xf numFmtId="0" fontId="78" fillId="0" borderId="0" xfId="2" applyFont="1" applyFill="1" applyBorder="1" applyAlignment="1" applyProtection="1">
      <alignment horizontal="left" vertical="center" wrapText="1"/>
    </xf>
    <xf numFmtId="0" fontId="81" fillId="49" borderId="242" xfId="0" applyFont="1" applyFill="1" applyBorder="1" applyAlignment="1">
      <alignment horizontal="center" vertical="center"/>
    </xf>
    <xf numFmtId="14" fontId="17" fillId="47" borderId="0" xfId="0" applyNumberFormat="1" applyFont="1" applyFill="1" applyAlignment="1">
      <alignment horizontal="center" vertical="center"/>
    </xf>
    <xf numFmtId="0" fontId="17" fillId="47" borderId="0" xfId="0" applyFont="1" applyFill="1" applyAlignment="1">
      <alignment horizontal="center" vertical="center"/>
    </xf>
    <xf numFmtId="0" fontId="17" fillId="47" borderId="41" xfId="0" applyFont="1" applyFill="1" applyBorder="1" applyAlignment="1">
      <alignment horizontal="center" vertical="center"/>
    </xf>
    <xf numFmtId="14" fontId="16" fillId="0" borderId="0" xfId="0" applyNumberFormat="1" applyFont="1" applyFill="1" applyBorder="1" applyAlignment="1">
      <alignment horizontal="right" vertical="center"/>
    </xf>
    <xf numFmtId="14" fontId="16" fillId="0" borderId="0" xfId="0" applyNumberFormat="1" applyFont="1" applyFill="1" applyBorder="1" applyAlignment="1">
      <alignment horizontal="left" vertical="center"/>
    </xf>
    <xf numFmtId="14" fontId="29" fillId="8" borderId="6" xfId="0" applyNumberFormat="1" applyFont="1" applyFill="1" applyBorder="1" applyAlignment="1">
      <alignment horizontal="left" vertical="center"/>
    </xf>
    <xf numFmtId="0" fontId="29" fillId="0" borderId="0" xfId="0" applyFont="1" applyAlignment="1">
      <alignment horizontal="center"/>
    </xf>
    <xf numFmtId="0" fontId="29" fillId="0" borderId="41" xfId="0" applyFont="1" applyBorder="1" applyAlignment="1">
      <alignment horizontal="center"/>
    </xf>
    <xf numFmtId="0" fontId="17" fillId="0" borderId="0" xfId="0" applyFont="1" applyAlignment="1">
      <alignment vertical="center"/>
    </xf>
    <xf numFmtId="0" fontId="76" fillId="0" borderId="0" xfId="2" applyFont="1" applyAlignment="1" applyProtection="1">
      <alignment vertical="center"/>
      <protection locked="0"/>
    </xf>
    <xf numFmtId="0" fontId="17" fillId="0" borderId="259" xfId="0" applyFont="1" applyFill="1" applyBorder="1" applyAlignment="1">
      <alignment horizontal="center" vertical="center"/>
    </xf>
    <xf numFmtId="0" fontId="17" fillId="0" borderId="33" xfId="0" applyFont="1" applyBorder="1" applyAlignment="1">
      <alignment vertical="center"/>
    </xf>
    <xf numFmtId="0" fontId="31" fillId="0" borderId="0" xfId="0" applyFont="1" applyFill="1" applyBorder="1" applyAlignment="1">
      <alignment horizontal="center" vertical="center" wrapText="1"/>
    </xf>
    <xf numFmtId="0" fontId="30" fillId="0" borderId="0" xfId="2" applyFont="1" applyFill="1" applyBorder="1" applyAlignment="1" applyProtection="1">
      <alignment horizontal="left" vertical="center" wrapText="1"/>
    </xf>
    <xf numFmtId="0" fontId="29" fillId="0" borderId="57" xfId="0" applyFont="1" applyBorder="1" applyAlignment="1">
      <alignment horizontal="left" vertical="center" wrapText="1"/>
    </xf>
    <xf numFmtId="3" fontId="17" fillId="13" borderId="138" xfId="0" applyNumberFormat="1" applyFont="1" applyFill="1" applyBorder="1" applyAlignment="1">
      <alignment horizontal="center" vertical="center"/>
    </xf>
    <xf numFmtId="3" fontId="16" fillId="13" borderId="173" xfId="0" applyNumberFormat="1" applyFont="1" applyFill="1" applyBorder="1" applyAlignment="1">
      <alignment horizontal="center" vertical="center"/>
    </xf>
    <xf numFmtId="0" fontId="30" fillId="0" borderId="29" xfId="0" applyFont="1" applyBorder="1" applyAlignment="1">
      <alignment horizontal="right" vertical="center" wrapText="1"/>
    </xf>
    <xf numFmtId="0" fontId="29" fillId="0" borderId="27" xfId="0" applyFont="1" applyBorder="1" applyAlignment="1">
      <alignment horizontal="center" vertical="center" wrapText="1"/>
    </xf>
    <xf numFmtId="0" fontId="15" fillId="0" borderId="0" xfId="2" applyFont="1" applyFill="1" applyBorder="1" applyAlignment="1" applyProtection="1">
      <alignment vertical="center" wrapText="1"/>
    </xf>
    <xf numFmtId="0" fontId="17" fillId="46" borderId="198" xfId="0" applyFont="1" applyFill="1" applyBorder="1" applyAlignment="1">
      <alignment horizontal="right" vertical="center" wrapText="1"/>
    </xf>
    <xf numFmtId="0" fontId="20" fillId="46" borderId="198" xfId="0" applyFont="1" applyFill="1" applyBorder="1" applyAlignment="1">
      <alignment vertical="center"/>
    </xf>
    <xf numFmtId="0" fontId="17" fillId="46" borderId="198" xfId="0" applyFont="1" applyFill="1" applyBorder="1" applyAlignment="1">
      <alignment horizontal="center" vertical="center"/>
    </xf>
    <xf numFmtId="0" fontId="17" fillId="46" borderId="212" xfId="0" applyFont="1" applyFill="1" applyBorder="1" applyAlignment="1">
      <alignment horizontal="right" vertical="center" wrapText="1"/>
    </xf>
    <xf numFmtId="0" fontId="17" fillId="0" borderId="0" xfId="0" applyFont="1" applyFill="1" applyBorder="1" applyAlignment="1">
      <alignment horizontal="center" vertical="center"/>
    </xf>
    <xf numFmtId="0" fontId="20" fillId="0" borderId="0" xfId="0" applyFont="1" applyFill="1" applyBorder="1" applyAlignment="1">
      <alignment vertical="center"/>
    </xf>
    <xf numFmtId="0" fontId="17" fillId="14" borderId="243" xfId="0" applyFont="1" applyFill="1" applyBorder="1" applyAlignment="1">
      <alignment vertical="center"/>
    </xf>
    <xf numFmtId="0" fontId="17" fillId="14" borderId="241" xfId="0" applyFont="1" applyFill="1" applyBorder="1" applyAlignment="1">
      <alignment vertical="center"/>
    </xf>
    <xf numFmtId="0" fontId="17" fillId="0" borderId="227" xfId="0" applyFont="1" applyFill="1" applyBorder="1" applyAlignment="1">
      <alignment vertical="center"/>
    </xf>
    <xf numFmtId="0" fontId="17" fillId="14" borderId="228" xfId="0" applyFont="1" applyFill="1" applyBorder="1" applyAlignment="1">
      <alignment vertical="center" wrapText="1"/>
    </xf>
    <xf numFmtId="0" fontId="17" fillId="14" borderId="230" xfId="0" applyFont="1" applyFill="1" applyBorder="1" applyAlignment="1">
      <alignment vertical="center" wrapText="1"/>
    </xf>
    <xf numFmtId="0" fontId="17" fillId="14" borderId="231" xfId="0" applyFont="1" applyFill="1" applyBorder="1" applyAlignment="1">
      <alignment vertical="center" wrapText="1"/>
    </xf>
    <xf numFmtId="0" fontId="20" fillId="14" borderId="231" xfId="0" applyFont="1" applyFill="1" applyBorder="1" applyAlignment="1">
      <alignment horizontal="center" vertical="center"/>
    </xf>
    <xf numFmtId="0" fontId="17" fillId="14" borderId="232" xfId="0" applyFont="1" applyFill="1" applyBorder="1" applyAlignment="1">
      <alignment vertical="center" wrapText="1"/>
    </xf>
    <xf numFmtId="0" fontId="17" fillId="14" borderId="227" xfId="0" applyFont="1" applyFill="1" applyBorder="1" applyAlignment="1">
      <alignment vertical="center" wrapText="1"/>
    </xf>
    <xf numFmtId="0" fontId="17" fillId="14" borderId="0" xfId="0" applyFont="1" applyFill="1" applyBorder="1" applyAlignment="1">
      <alignment vertical="center" wrapText="1"/>
    </xf>
    <xf numFmtId="0" fontId="20" fillId="14" borderId="0" xfId="0" applyFont="1" applyFill="1" applyBorder="1" applyAlignment="1">
      <alignment horizontal="center" vertical="center"/>
    </xf>
    <xf numFmtId="0" fontId="81" fillId="49" borderId="265" xfId="0" applyFont="1" applyFill="1" applyBorder="1" applyAlignment="1">
      <alignment horizontal="center" vertical="center"/>
    </xf>
    <xf numFmtId="0" fontId="81" fillId="49" borderId="268" xfId="0" applyFont="1" applyFill="1" applyBorder="1" applyAlignment="1">
      <alignment horizontal="center" vertical="center"/>
    </xf>
    <xf numFmtId="0" fontId="81" fillId="49" borderId="271" xfId="0" applyFont="1" applyFill="1" applyBorder="1" applyAlignment="1">
      <alignment horizontal="center" vertical="center"/>
    </xf>
    <xf numFmtId="0" fontId="96" fillId="14" borderId="225" xfId="0" applyFont="1" applyFill="1" applyBorder="1" applyAlignment="1">
      <alignment horizontal="center" vertical="center" wrapText="1"/>
    </xf>
    <xf numFmtId="0" fontId="96" fillId="14" borderId="225" xfId="0" applyFont="1" applyFill="1" applyBorder="1" applyAlignment="1">
      <alignment horizontal="right" vertical="center" wrapText="1"/>
    </xf>
    <xf numFmtId="0" fontId="96" fillId="14" borderId="241" xfId="0" applyFont="1" applyFill="1" applyBorder="1" applyAlignment="1">
      <alignment vertical="center"/>
    </xf>
    <xf numFmtId="0" fontId="96" fillId="14" borderId="231" xfId="0" applyFont="1" applyFill="1" applyBorder="1" applyAlignment="1">
      <alignment horizontal="center" vertical="center"/>
    </xf>
    <xf numFmtId="0" fontId="81" fillId="0" borderId="0" xfId="0" applyFont="1" applyFill="1" applyBorder="1" applyAlignment="1">
      <alignment vertical="center" wrapText="1"/>
    </xf>
    <xf numFmtId="0" fontId="81" fillId="0" borderId="0" xfId="0" applyFont="1" applyFill="1" applyBorder="1" applyAlignment="1">
      <alignment vertical="center"/>
    </xf>
    <xf numFmtId="14" fontId="29" fillId="0" borderId="0" xfId="0" applyNumberFormat="1" applyFont="1" applyAlignment="1">
      <alignment horizontal="center"/>
    </xf>
    <xf numFmtId="0" fontId="0" fillId="0" borderId="0" xfId="0" applyAlignment="1">
      <alignment horizontal="center"/>
    </xf>
    <xf numFmtId="166" fontId="17" fillId="8" borderId="141" xfId="0" applyNumberFormat="1" applyFont="1" applyFill="1" applyBorder="1" applyAlignment="1">
      <alignment horizontal="center" vertical="center"/>
    </xf>
    <xf numFmtId="166" fontId="17" fillId="8" borderId="17" xfId="0" applyNumberFormat="1" applyFont="1" applyFill="1" applyBorder="1" applyAlignment="1">
      <alignment horizontal="center" vertical="center"/>
    </xf>
    <xf numFmtId="1" fontId="17" fillId="8" borderId="17" xfId="0" applyNumberFormat="1" applyFont="1" applyFill="1" applyBorder="1" applyAlignment="1">
      <alignment horizontal="center" vertical="center"/>
    </xf>
    <xf numFmtId="1" fontId="17" fillId="8" borderId="272" xfId="0" applyNumberFormat="1" applyFont="1" applyFill="1" applyBorder="1" applyAlignment="1">
      <alignment horizontal="center" vertical="center"/>
    </xf>
    <xf numFmtId="164" fontId="0" fillId="12" borderId="141" xfId="0" applyNumberFormat="1" applyFill="1" applyBorder="1" applyAlignment="1">
      <alignment horizontal="center"/>
    </xf>
    <xf numFmtId="3" fontId="0" fillId="12" borderId="17" xfId="0" applyNumberFormat="1" applyFill="1" applyBorder="1" applyAlignment="1">
      <alignment horizontal="center"/>
    </xf>
    <xf numFmtId="1" fontId="0" fillId="12" borderId="17" xfId="0" applyNumberFormat="1" applyFill="1" applyBorder="1" applyAlignment="1">
      <alignment horizontal="center"/>
    </xf>
    <xf numFmtId="0" fontId="0" fillId="12" borderId="272" xfId="0" applyFill="1" applyBorder="1" applyAlignment="1">
      <alignment horizontal="center"/>
    </xf>
    <xf numFmtId="1" fontId="17" fillId="5" borderId="1" xfId="0" applyNumberFormat="1" applyFont="1" applyFill="1" applyBorder="1" applyAlignment="1">
      <alignment horizontal="center"/>
    </xf>
    <xf numFmtId="164" fontId="17" fillId="7" borderId="9" xfId="0" applyNumberFormat="1" applyFont="1" applyFill="1" applyBorder="1" applyAlignment="1">
      <alignment horizontal="center"/>
    </xf>
    <xf numFmtId="1" fontId="37" fillId="34" borderId="172" xfId="0" applyNumberFormat="1" applyFont="1" applyFill="1" applyBorder="1" applyAlignment="1">
      <alignment horizontal="center" vertical="center"/>
    </xf>
    <xf numFmtId="1" fontId="37" fillId="34" borderId="18" xfId="0" applyNumberFormat="1" applyFont="1" applyFill="1" applyBorder="1" applyAlignment="1">
      <alignment horizontal="center" vertical="center"/>
    </xf>
    <xf numFmtId="0" fontId="17" fillId="0" borderId="1" xfId="0" applyFont="1" applyFill="1" applyBorder="1" applyAlignment="1">
      <alignment horizontal="center"/>
    </xf>
    <xf numFmtId="0" fontId="17" fillId="0" borderId="15" xfId="0" applyFont="1" applyFill="1" applyBorder="1" applyAlignment="1">
      <alignment horizontal="center"/>
    </xf>
    <xf numFmtId="0" fontId="17" fillId="0" borderId="6" xfId="0" applyFont="1" applyFill="1" applyBorder="1" applyAlignment="1">
      <alignment horizontal="center"/>
    </xf>
    <xf numFmtId="0" fontId="0" fillId="0" borderId="6" xfId="0" applyFill="1" applyBorder="1" applyAlignment="1">
      <alignment horizontal="center"/>
    </xf>
    <xf numFmtId="0" fontId="0" fillId="0" borderId="0" xfId="0" applyAlignment="1">
      <alignment horizontal="center"/>
    </xf>
    <xf numFmtId="0" fontId="37" fillId="34" borderId="173" xfId="0" applyFont="1" applyFill="1" applyBorder="1" applyAlignment="1">
      <alignment horizontal="center" vertical="center"/>
    </xf>
    <xf numFmtId="164" fontId="0" fillId="11" borderId="10" xfId="0" applyNumberFormat="1" applyFill="1" applyBorder="1" applyAlignment="1">
      <alignment horizontal="center"/>
    </xf>
    <xf numFmtId="1" fontId="0" fillId="11" borderId="11" xfId="0" applyNumberFormat="1" applyFill="1" applyBorder="1" applyAlignment="1">
      <alignment horizontal="center"/>
    </xf>
    <xf numFmtId="3" fontId="0" fillId="11" borderId="11" xfId="0" applyNumberFormat="1" applyFill="1" applyBorder="1" applyAlignment="1">
      <alignment horizontal="center"/>
    </xf>
    <xf numFmtId="1" fontId="17" fillId="3" borderId="17" xfId="0" applyNumberFormat="1" applyFont="1" applyFill="1" applyBorder="1" applyAlignment="1">
      <alignment horizontal="center"/>
    </xf>
    <xf numFmtId="0" fontId="17" fillId="0" borderId="0" xfId="0" applyFont="1" applyBorder="1" applyAlignment="1">
      <alignment vertical="center"/>
    </xf>
    <xf numFmtId="0" fontId="41" fillId="0" borderId="0" xfId="0" applyFont="1" applyAlignment="1">
      <alignment vertical="center"/>
    </xf>
    <xf numFmtId="0" fontId="0" fillId="0" borderId="0" xfId="0" applyAlignment="1">
      <alignment horizontal="center"/>
    </xf>
    <xf numFmtId="0" fontId="41" fillId="0" borderId="0" xfId="0" applyFont="1" applyBorder="1" applyAlignment="1">
      <alignment vertical="center" wrapText="1"/>
    </xf>
    <xf numFmtId="0" fontId="41" fillId="0" borderId="0" xfId="0" applyFont="1" applyFill="1" applyBorder="1" applyAlignment="1">
      <alignment vertical="center" wrapText="1"/>
    </xf>
    <xf numFmtId="0" fontId="41" fillId="0" borderId="0" xfId="0" applyFont="1" applyFill="1" applyAlignment="1">
      <alignment vertical="center"/>
    </xf>
    <xf numFmtId="0" fontId="41" fillId="0" borderId="0" xfId="0" applyFont="1" applyFill="1" applyBorder="1" applyAlignment="1">
      <alignment vertical="center"/>
    </xf>
    <xf numFmtId="0" fontId="16" fillId="0" borderId="0" xfId="0" applyFont="1" applyBorder="1" applyAlignment="1">
      <alignment horizontal="left" vertical="center"/>
    </xf>
    <xf numFmtId="0" fontId="16" fillId="0" borderId="0" xfId="0" applyFont="1" applyBorder="1" applyAlignment="1">
      <alignment horizontal="center" vertical="center"/>
    </xf>
    <xf numFmtId="0" fontId="16" fillId="0" borderId="76" xfId="0" applyFont="1" applyBorder="1" applyAlignment="1">
      <alignment horizontal="center" vertical="center"/>
    </xf>
    <xf numFmtId="0" fontId="102" fillId="0" borderId="73" xfId="0" applyFont="1" applyBorder="1" applyAlignment="1">
      <alignment vertical="center"/>
    </xf>
    <xf numFmtId="0" fontId="16" fillId="0" borderId="74" xfId="0" applyFont="1" applyBorder="1" applyAlignment="1">
      <alignment horizontal="left" vertical="center"/>
    </xf>
    <xf numFmtId="0" fontId="16" fillId="0" borderId="74" xfId="0" applyFont="1" applyBorder="1" applyAlignment="1">
      <alignment vertical="center"/>
    </xf>
    <xf numFmtId="0" fontId="102" fillId="0" borderId="76" xfId="0" applyFont="1" applyBorder="1" applyAlignment="1">
      <alignment horizontal="right" vertical="center"/>
    </xf>
    <xf numFmtId="0" fontId="17" fillId="3" borderId="272" xfId="0" applyFont="1" applyFill="1" applyBorder="1" applyAlignment="1">
      <alignment horizontal="center"/>
    </xf>
    <xf numFmtId="0" fontId="29" fillId="0" borderId="5" xfId="0" applyFont="1" applyFill="1" applyBorder="1" applyAlignment="1">
      <alignment vertical="center" wrapText="1"/>
    </xf>
    <xf numFmtId="0" fontId="29" fillId="0" borderId="0" xfId="0" applyFont="1" applyBorder="1" applyAlignment="1">
      <alignment vertical="center" wrapText="1"/>
    </xf>
    <xf numFmtId="49" fontId="29" fillId="0" borderId="15" xfId="0" applyNumberFormat="1" applyFont="1" applyFill="1" applyBorder="1" applyAlignment="1">
      <alignment horizontal="left" vertical="top"/>
    </xf>
    <xf numFmtId="0" fontId="29" fillId="0" borderId="0" xfId="0" applyFont="1" applyFill="1" applyBorder="1" applyAlignment="1">
      <alignment vertical="center" wrapText="1"/>
    </xf>
    <xf numFmtId="0" fontId="29" fillId="0" borderId="0" xfId="0" applyFont="1" applyFill="1" applyBorder="1" applyAlignment="1">
      <alignment vertical="center"/>
    </xf>
    <xf numFmtId="0" fontId="15" fillId="50" borderId="257" xfId="0" applyFont="1" applyFill="1" applyBorder="1" applyAlignment="1">
      <alignment horizontal="center" vertical="center"/>
    </xf>
    <xf numFmtId="0" fontId="30" fillId="10" borderId="143" xfId="0" applyFont="1" applyFill="1" applyBorder="1" applyAlignment="1">
      <alignment horizontal="center" vertical="center"/>
    </xf>
    <xf numFmtId="0" fontId="29" fillId="0" borderId="141" xfId="0" applyFont="1" applyBorder="1" applyAlignment="1">
      <alignment horizontal="center" vertical="center" wrapText="1"/>
    </xf>
    <xf numFmtId="0" fontId="17" fillId="0" borderId="11" xfId="0" applyFont="1" applyBorder="1" applyAlignment="1">
      <alignment vertical="center" wrapText="1"/>
    </xf>
    <xf numFmtId="0" fontId="17" fillId="0" borderId="0" xfId="0" applyFont="1" applyBorder="1" applyAlignment="1">
      <alignment vertical="center" wrapText="1"/>
    </xf>
    <xf numFmtId="0" fontId="17" fillId="0" borderId="56" xfId="0" applyFont="1" applyBorder="1" applyAlignment="1">
      <alignment vertical="center" wrapText="1"/>
    </xf>
    <xf numFmtId="0" fontId="17" fillId="0" borderId="0" xfId="0" applyFont="1" applyBorder="1" applyAlignment="1">
      <alignment horizontal="center" vertical="center"/>
    </xf>
    <xf numFmtId="0" fontId="17" fillId="0" borderId="78" xfId="0" applyFont="1" applyBorder="1" applyAlignment="1">
      <alignment horizontal="center" vertical="center"/>
    </xf>
    <xf numFmtId="0" fontId="17" fillId="0" borderId="11" xfId="0" applyFont="1" applyBorder="1" applyAlignment="1">
      <alignment horizontal="center" vertical="center" wrapText="1"/>
    </xf>
    <xf numFmtId="0" fontId="17" fillId="0" borderId="84" xfId="0" applyFont="1" applyBorder="1" applyAlignment="1">
      <alignment horizontal="center" vertical="center" wrapText="1"/>
    </xf>
    <xf numFmtId="0" fontId="17" fillId="0" borderId="38" xfId="0" applyFont="1" applyBorder="1" applyAlignment="1">
      <alignment horizontal="center" vertical="center" wrapText="1"/>
    </xf>
    <xf numFmtId="0" fontId="17" fillId="0" borderId="11" xfId="0" applyFont="1" applyBorder="1" applyAlignment="1">
      <alignment horizontal="center" vertical="center"/>
    </xf>
    <xf numFmtId="0" fontId="77" fillId="0" borderId="76" xfId="0" applyFont="1" applyBorder="1" applyAlignment="1" applyProtection="1">
      <alignment horizontal="center" vertical="center"/>
    </xf>
    <xf numFmtId="0" fontId="77" fillId="0" borderId="0" xfId="0" applyFont="1" applyBorder="1" applyAlignment="1" applyProtection="1">
      <alignment horizontal="center" vertical="center"/>
    </xf>
    <xf numFmtId="0" fontId="17" fillId="0" borderId="0" xfId="0" applyFont="1" applyBorder="1" applyAlignment="1" applyProtection="1">
      <alignment horizontal="center" vertical="center"/>
    </xf>
    <xf numFmtId="0" fontId="20" fillId="0" borderId="41" xfId="0" applyFont="1" applyBorder="1" applyAlignment="1" applyProtection="1">
      <alignment horizontal="center" vertical="center"/>
    </xf>
    <xf numFmtId="0" fontId="20" fillId="0" borderId="104" xfId="0" applyFont="1" applyBorder="1" applyAlignment="1" applyProtection="1">
      <alignment horizontal="center" vertical="center"/>
    </xf>
    <xf numFmtId="0" fontId="17" fillId="0" borderId="0" xfId="0" applyFont="1" applyAlignment="1">
      <alignment vertical="center" wrapText="1"/>
    </xf>
    <xf numFmtId="0" fontId="47" fillId="0" borderId="87" xfId="0" applyFont="1" applyBorder="1" applyAlignment="1" applyProtection="1">
      <alignment horizontal="center" vertical="center"/>
    </xf>
    <xf numFmtId="0" fontId="13" fillId="26" borderId="0" xfId="0" applyFont="1" applyFill="1" applyBorder="1" applyAlignment="1">
      <alignment horizontal="center" wrapText="1"/>
    </xf>
    <xf numFmtId="0" fontId="0" fillId="0" borderId="0" xfId="0" applyAlignment="1"/>
    <xf numFmtId="0" fontId="0" fillId="22" borderId="34" xfId="0" applyFill="1" applyBorder="1" applyAlignment="1">
      <alignment horizontal="center"/>
    </xf>
    <xf numFmtId="0" fontId="0" fillId="22" borderId="35" xfId="0" applyFill="1" applyBorder="1" applyAlignment="1">
      <alignment horizontal="center"/>
    </xf>
    <xf numFmtId="0" fontId="12" fillId="0" borderId="0" xfId="0" applyFont="1" applyFill="1" applyAlignment="1">
      <alignment vertical="top" wrapText="1"/>
    </xf>
    <xf numFmtId="0" fontId="0" fillId="0" borderId="0" xfId="0" applyAlignment="1">
      <alignment horizontal="center"/>
    </xf>
    <xf numFmtId="0" fontId="12" fillId="0" borderId="0" xfId="0" applyFont="1" applyAlignment="1">
      <alignment horizontal="center"/>
    </xf>
    <xf numFmtId="0" fontId="20" fillId="20" borderId="46" xfId="0" applyFont="1" applyFill="1" applyBorder="1" applyAlignment="1" applyProtection="1">
      <alignment horizontal="center" vertical="center"/>
    </xf>
    <xf numFmtId="0" fontId="38" fillId="0" borderId="37" xfId="0" applyFont="1" applyBorder="1" applyAlignment="1" applyProtection="1">
      <alignment horizontal="left" vertical="center"/>
    </xf>
    <xf numFmtId="0" fontId="38" fillId="0" borderId="37" xfId="0" applyFont="1" applyBorder="1" applyAlignment="1" applyProtection="1">
      <alignment horizontal="left" vertical="center" wrapText="1"/>
    </xf>
    <xf numFmtId="0" fontId="38" fillId="0" borderId="33" xfId="0" applyFont="1" applyBorder="1" applyAlignment="1" applyProtection="1">
      <alignment horizontal="left" vertical="center"/>
    </xf>
    <xf numFmtId="0" fontId="38" fillId="0" borderId="33" xfId="0" applyFont="1" applyBorder="1" applyAlignment="1" applyProtection="1">
      <alignment horizontal="left" vertical="center" wrapText="1"/>
    </xf>
    <xf numFmtId="0" fontId="44" fillId="0" borderId="22" xfId="0" applyFont="1" applyBorder="1" applyAlignment="1" applyProtection="1">
      <alignment horizontal="left" vertical="center" wrapText="1"/>
    </xf>
    <xf numFmtId="0" fontId="20" fillId="3" borderId="3" xfId="0" applyFont="1" applyFill="1" applyBorder="1" applyAlignment="1">
      <alignment horizontal="center"/>
    </xf>
    <xf numFmtId="0" fontId="17" fillId="4" borderId="54" xfId="0" applyFont="1" applyFill="1" applyBorder="1" applyAlignment="1">
      <alignment horizontal="center"/>
    </xf>
    <xf numFmtId="0" fontId="17" fillId="6" borderId="10" xfId="0" applyFont="1" applyFill="1" applyBorder="1" applyAlignment="1">
      <alignment horizontal="center"/>
    </xf>
    <xf numFmtId="0" fontId="2" fillId="0" borderId="0" xfId="0" applyFont="1" applyFill="1" applyBorder="1" applyAlignment="1">
      <alignment horizontal="center"/>
    </xf>
    <xf numFmtId="0" fontId="0" fillId="0" borderId="0" xfId="0" applyAlignment="1">
      <alignment horizontal="center"/>
    </xf>
    <xf numFmtId="164" fontId="0" fillId="12" borderId="6" xfId="0" applyNumberFormat="1" applyFill="1" applyBorder="1" applyAlignment="1">
      <alignment horizontal="center"/>
    </xf>
    <xf numFmtId="0" fontId="17" fillId="4" borderId="54" xfId="0" applyFont="1" applyFill="1" applyBorder="1" applyAlignment="1">
      <alignment horizontal="center"/>
    </xf>
    <xf numFmtId="0" fontId="17" fillId="4" borderId="6" xfId="0" applyFont="1" applyFill="1" applyBorder="1" applyAlignment="1">
      <alignment horizontal="center"/>
    </xf>
    <xf numFmtId="0" fontId="17" fillId="6" borderId="10" xfId="0" applyFont="1" applyFill="1" applyBorder="1" applyAlignment="1">
      <alignment horizontal="center"/>
    </xf>
    <xf numFmtId="164" fontId="17" fillId="11" borderId="6" xfId="0" applyNumberFormat="1" applyFont="1" applyFill="1" applyBorder="1" applyAlignment="1">
      <alignment horizontal="center"/>
    </xf>
    <xf numFmtId="0" fontId="17" fillId="3" borderId="142" xfId="0" applyFont="1" applyFill="1" applyBorder="1" applyAlignment="1">
      <alignment horizontal="center"/>
    </xf>
    <xf numFmtId="0" fontId="17" fillId="3" borderId="85" xfId="0" applyFont="1" applyFill="1" applyBorder="1" applyAlignment="1">
      <alignment horizontal="center"/>
    </xf>
    <xf numFmtId="0" fontId="17" fillId="3" borderId="38" xfId="0" applyFont="1" applyFill="1" applyBorder="1" applyAlignment="1">
      <alignment horizontal="center"/>
    </xf>
    <xf numFmtId="164" fontId="17" fillId="3" borderId="38" xfId="0" applyNumberFormat="1" applyFont="1" applyFill="1" applyBorder="1" applyAlignment="1">
      <alignment horizontal="center"/>
    </xf>
    <xf numFmtId="0" fontId="17" fillId="3" borderId="9" xfId="0" applyFont="1" applyFill="1" applyBorder="1" applyAlignment="1">
      <alignment horizontal="center"/>
    </xf>
    <xf numFmtId="1" fontId="0" fillId="11" borderId="9" xfId="0" applyNumberFormat="1" applyFill="1" applyBorder="1" applyAlignment="1">
      <alignment horizontal="center"/>
    </xf>
    <xf numFmtId="164" fontId="0" fillId="11" borderId="9" xfId="0" applyNumberFormat="1" applyFill="1" applyBorder="1" applyAlignment="1">
      <alignment horizontal="center"/>
    </xf>
    <xf numFmtId="3" fontId="0" fillId="11" borderId="9" xfId="0" applyNumberFormat="1" applyFill="1" applyBorder="1" applyAlignment="1">
      <alignment horizontal="center"/>
    </xf>
    <xf numFmtId="2" fontId="0" fillId="11" borderId="9" xfId="0" applyNumberFormat="1" applyFill="1" applyBorder="1" applyAlignment="1">
      <alignment horizontal="center"/>
    </xf>
    <xf numFmtId="1" fontId="17" fillId="5" borderId="9" xfId="0" applyNumberFormat="1" applyFont="1" applyFill="1" applyBorder="1" applyAlignment="1">
      <alignment horizontal="center"/>
    </xf>
    <xf numFmtId="164" fontId="0" fillId="5" borderId="9" xfId="0" applyNumberFormat="1" applyFill="1" applyBorder="1" applyAlignment="1">
      <alignment horizontal="center"/>
    </xf>
    <xf numFmtId="2" fontId="0" fillId="5" borderId="9" xfId="0" applyNumberFormat="1" applyFill="1" applyBorder="1" applyAlignment="1">
      <alignment horizontal="center"/>
    </xf>
    <xf numFmtId="1" fontId="17" fillId="6" borderId="9" xfId="0" applyNumberFormat="1" applyFont="1" applyFill="1" applyBorder="1" applyAlignment="1">
      <alignment horizontal="center"/>
    </xf>
    <xf numFmtId="2" fontId="0" fillId="6" borderId="6" xfId="0" applyNumberFormat="1" applyFill="1" applyBorder="1" applyAlignment="1">
      <alignment horizontal="center"/>
    </xf>
    <xf numFmtId="1" fontId="17" fillId="11" borderId="9" xfId="0" applyNumberFormat="1" applyFont="1" applyFill="1" applyBorder="1" applyAlignment="1">
      <alignment horizontal="center"/>
    </xf>
    <xf numFmtId="3" fontId="0" fillId="12" borderId="6" xfId="0" applyNumberFormat="1" applyFill="1" applyBorder="1" applyAlignment="1">
      <alignment horizontal="center"/>
    </xf>
    <xf numFmtId="164" fontId="0" fillId="12" borderId="9" xfId="0" applyNumberFormat="1" applyFill="1" applyBorder="1" applyAlignment="1">
      <alignment horizontal="center"/>
    </xf>
    <xf numFmtId="1" fontId="0" fillId="12" borderId="6" xfId="0" applyNumberFormat="1" applyFill="1" applyBorder="1" applyAlignment="1">
      <alignment horizontal="center"/>
    </xf>
    <xf numFmtId="1" fontId="37" fillId="34" borderId="81" xfId="0" applyNumberFormat="1" applyFont="1" applyFill="1" applyBorder="1" applyAlignment="1">
      <alignment horizontal="center" vertical="center"/>
    </xf>
    <xf numFmtId="164" fontId="37" fillId="34" borderId="172" xfId="0" applyNumberFormat="1" applyFont="1" applyFill="1" applyBorder="1" applyAlignment="1">
      <alignment horizontal="center" vertical="center"/>
    </xf>
    <xf numFmtId="165" fontId="17" fillId="12" borderId="9" xfId="0" applyNumberFormat="1" applyFont="1" applyFill="1" applyBorder="1" applyAlignment="1">
      <alignment horizontal="center"/>
    </xf>
    <xf numFmtId="1" fontId="17" fillId="12" borderId="9" xfId="0" applyNumberFormat="1" applyFont="1" applyFill="1" applyBorder="1" applyAlignment="1">
      <alignment horizontal="center"/>
    </xf>
    <xf numFmtId="164" fontId="17" fillId="12" borderId="9" xfId="0" applyNumberFormat="1" applyFont="1" applyFill="1" applyBorder="1" applyAlignment="1">
      <alignment horizontal="center"/>
    </xf>
    <xf numFmtId="165" fontId="17" fillId="11" borderId="9" xfId="0" applyNumberFormat="1" applyFont="1" applyFill="1" applyBorder="1" applyAlignment="1">
      <alignment horizontal="center"/>
    </xf>
    <xf numFmtId="164" fontId="17" fillId="11" borderId="9" xfId="0" applyNumberFormat="1" applyFont="1" applyFill="1" applyBorder="1" applyAlignment="1">
      <alignment horizontal="center"/>
    </xf>
    <xf numFmtId="1" fontId="17" fillId="13" borderId="9" xfId="0" applyNumberFormat="1" applyFont="1" applyFill="1" applyBorder="1" applyAlignment="1">
      <alignment horizontal="center"/>
    </xf>
    <xf numFmtId="165" fontId="17" fillId="4" borderId="9" xfId="0" applyNumberFormat="1" applyFont="1" applyFill="1" applyBorder="1" applyAlignment="1">
      <alignment horizontal="center"/>
    </xf>
    <xf numFmtId="1" fontId="17" fillId="4" borderId="9" xfId="0" applyNumberFormat="1" applyFont="1" applyFill="1" applyBorder="1" applyAlignment="1">
      <alignment horizontal="center"/>
    </xf>
    <xf numFmtId="165" fontId="0" fillId="3" borderId="11" xfId="0" applyNumberFormat="1" applyFill="1" applyBorder="1" applyAlignment="1">
      <alignment horizontal="center"/>
    </xf>
    <xf numFmtId="1" fontId="0" fillId="3" borderId="12" xfId="0" applyNumberFormat="1" applyFill="1" applyBorder="1" applyAlignment="1">
      <alignment horizontal="center"/>
    </xf>
    <xf numFmtId="1" fontId="39" fillId="17" borderId="251" xfId="0" applyNumberFormat="1" applyFont="1" applyFill="1" applyBorder="1" applyAlignment="1" applyProtection="1">
      <alignment horizontal="center" vertical="center"/>
    </xf>
    <xf numFmtId="0" fontId="15" fillId="0" borderId="151" xfId="0" applyFont="1" applyBorder="1" applyAlignment="1">
      <alignment horizontal="center" vertical="center" wrapText="1"/>
    </xf>
    <xf numFmtId="0" fontId="15" fillId="0" borderId="153" xfId="0" applyFont="1" applyBorder="1" applyAlignment="1">
      <alignment horizontal="center" vertical="center" wrapText="1"/>
    </xf>
    <xf numFmtId="0" fontId="20" fillId="47" borderId="0" xfId="0" applyFont="1" applyFill="1" applyAlignment="1">
      <alignment horizontal="right" vertical="center"/>
    </xf>
    <xf numFmtId="0" fontId="29" fillId="0" borderId="41" xfId="0" applyFont="1" applyFill="1" applyBorder="1" applyAlignment="1">
      <alignment horizontal="left" vertical="center" wrapText="1"/>
    </xf>
    <xf numFmtId="0" fontId="29" fillId="0" borderId="38" xfId="0" applyFont="1" applyFill="1" applyBorder="1" applyAlignment="1">
      <alignment horizontal="left" vertical="center" wrapText="1"/>
    </xf>
    <xf numFmtId="0" fontId="29" fillId="0" borderId="5" xfId="0" applyFont="1" applyBorder="1" applyAlignment="1">
      <alignment vertical="center" wrapText="1"/>
    </xf>
    <xf numFmtId="0" fontId="29" fillId="0" borderId="16" xfId="0" applyFont="1" applyBorder="1" applyAlignment="1">
      <alignment vertical="center" wrapText="1"/>
    </xf>
    <xf numFmtId="0" fontId="29" fillId="0" borderId="5" xfId="0" applyFont="1" applyFill="1" applyBorder="1" applyAlignment="1">
      <alignment vertical="center" wrapText="1"/>
    </xf>
    <xf numFmtId="0" fontId="29" fillId="0" borderId="16" xfId="0" applyFont="1" applyFill="1" applyBorder="1" applyAlignment="1">
      <alignment vertical="center" wrapText="1"/>
    </xf>
    <xf numFmtId="0" fontId="29" fillId="0" borderId="0" xfId="0" applyFont="1" applyBorder="1" applyAlignment="1">
      <alignment vertical="center" wrapText="1"/>
    </xf>
    <xf numFmtId="0" fontId="29" fillId="0" borderId="37" xfId="0" applyFont="1" applyBorder="1" applyAlignment="1">
      <alignment vertical="center" wrapText="1"/>
    </xf>
    <xf numFmtId="0" fontId="29" fillId="0" borderId="41" xfId="0" applyFont="1" applyBorder="1" applyAlignment="1">
      <alignment vertical="center" wrapText="1"/>
    </xf>
    <xf numFmtId="0" fontId="29" fillId="0" borderId="38" xfId="0" applyFont="1" applyBorder="1" applyAlignment="1">
      <alignment vertical="center" wrapText="1"/>
    </xf>
    <xf numFmtId="49" fontId="29" fillId="0" borderId="15" xfId="0" applyNumberFormat="1" applyFont="1" applyFill="1" applyBorder="1" applyAlignment="1">
      <alignment horizontal="left" vertical="top"/>
    </xf>
    <xf numFmtId="49" fontId="29" fillId="0" borderId="84" xfId="0" applyNumberFormat="1" applyFont="1" applyFill="1" applyBorder="1" applyAlignment="1">
      <alignment horizontal="left" vertical="top"/>
    </xf>
    <xf numFmtId="0" fontId="29" fillId="0" borderId="41" xfId="0" applyFont="1" applyFill="1" applyBorder="1" applyAlignment="1">
      <alignment vertical="center" wrapText="1"/>
    </xf>
    <xf numFmtId="0" fontId="29" fillId="0" borderId="38" xfId="0" applyFont="1" applyFill="1" applyBorder="1" applyAlignment="1">
      <alignment vertical="center" wrapText="1"/>
    </xf>
    <xf numFmtId="0" fontId="29" fillId="0" borderId="6" xfId="0" applyFont="1" applyFill="1" applyBorder="1" applyAlignment="1">
      <alignment vertical="center" wrapText="1"/>
    </xf>
    <xf numFmtId="0" fontId="29" fillId="0" borderId="9" xfId="0" applyFont="1" applyFill="1" applyBorder="1" applyAlignment="1">
      <alignment vertical="center" wrapText="1"/>
    </xf>
    <xf numFmtId="0" fontId="29" fillId="7" borderId="0" xfId="0" applyFont="1" applyFill="1" applyAlignment="1">
      <alignment vertical="center" wrapText="1"/>
    </xf>
    <xf numFmtId="0" fontId="29" fillId="0" borderId="0" xfId="0" applyFont="1" applyFill="1" applyBorder="1" applyAlignment="1">
      <alignment vertical="center" wrapText="1"/>
    </xf>
    <xf numFmtId="0" fontId="29" fillId="0" borderId="37" xfId="0" applyFont="1" applyFill="1" applyBorder="1" applyAlignment="1">
      <alignment vertical="center" wrapText="1"/>
    </xf>
    <xf numFmtId="0" fontId="29" fillId="0" borderId="0" xfId="0" applyFont="1" applyFill="1" applyBorder="1" applyAlignment="1">
      <alignment vertical="center"/>
    </xf>
    <xf numFmtId="0" fontId="29" fillId="0" borderId="37" xfId="0" applyFont="1" applyFill="1" applyBorder="1" applyAlignment="1">
      <alignment vertical="center"/>
    </xf>
    <xf numFmtId="0" fontId="15" fillId="0" borderId="41" xfId="2" applyFont="1" applyFill="1" applyBorder="1" applyAlignment="1" applyProtection="1">
      <alignment vertical="center" wrapText="1"/>
    </xf>
    <xf numFmtId="0" fontId="15" fillId="50" borderId="257" xfId="2" applyFont="1" applyFill="1" applyBorder="1" applyAlignment="1" applyProtection="1">
      <alignment horizontal="center" vertical="center"/>
      <protection locked="0"/>
    </xf>
    <xf numFmtId="0" fontId="15" fillId="50" borderId="258" xfId="2" applyFont="1" applyFill="1" applyBorder="1" applyAlignment="1" applyProtection="1">
      <alignment horizontal="center" vertical="center"/>
      <protection locked="0"/>
    </xf>
    <xf numFmtId="0" fontId="15" fillId="50" borderId="257" xfId="0" applyFont="1" applyFill="1" applyBorder="1" applyAlignment="1">
      <alignment horizontal="center" vertical="center"/>
    </xf>
    <xf numFmtId="0" fontId="15" fillId="50" borderId="258" xfId="0" applyFont="1" applyFill="1" applyBorder="1" applyAlignment="1">
      <alignment horizontal="center" vertical="center"/>
    </xf>
    <xf numFmtId="2" fontId="29" fillId="13" borderId="54" xfId="0" applyNumberFormat="1" applyFont="1" applyFill="1" applyBorder="1" applyAlignment="1">
      <alignment horizontal="center" vertical="center"/>
    </xf>
    <xf numFmtId="2" fontId="29" fillId="13" borderId="55" xfId="0" applyNumberFormat="1" applyFont="1" applyFill="1" applyBorder="1" applyAlignment="1">
      <alignment horizontal="center" vertical="center"/>
    </xf>
    <xf numFmtId="0" fontId="30" fillId="0" borderId="21" xfId="0" applyFont="1" applyBorder="1" applyAlignment="1">
      <alignment horizontal="center" vertical="center"/>
    </xf>
    <xf numFmtId="0" fontId="30" fillId="0" borderId="27" xfId="0" applyFont="1" applyBorder="1" applyAlignment="1">
      <alignment horizontal="center" vertical="center"/>
    </xf>
    <xf numFmtId="0" fontId="30" fillId="0" borderId="34" xfId="0" applyFont="1" applyBorder="1" applyAlignment="1">
      <alignment horizontal="center" vertical="center" wrapText="1"/>
    </xf>
    <xf numFmtId="0" fontId="30" fillId="0" borderId="36" xfId="0" applyFont="1" applyBorder="1" applyAlignment="1">
      <alignment horizontal="center" vertical="center" wrapText="1"/>
    </xf>
    <xf numFmtId="4" fontId="29" fillId="13" borderId="54" xfId="0" applyNumberFormat="1" applyFont="1" applyFill="1" applyBorder="1" applyAlignment="1">
      <alignment horizontal="center" vertical="center"/>
    </xf>
    <xf numFmtId="4" fontId="29" fillId="13" borderId="55" xfId="0" applyNumberFormat="1" applyFont="1" applyFill="1" applyBorder="1" applyAlignment="1">
      <alignment horizontal="center" vertical="center"/>
    </xf>
    <xf numFmtId="0" fontId="30" fillId="0" borderId="31" xfId="0" applyFont="1" applyBorder="1" applyAlignment="1">
      <alignment horizontal="center" vertical="center"/>
    </xf>
    <xf numFmtId="0" fontId="30" fillId="0" borderId="32" xfId="0" applyFont="1" applyBorder="1" applyAlignment="1">
      <alignment horizontal="center" vertical="center"/>
    </xf>
    <xf numFmtId="0" fontId="94" fillId="10" borderId="144" xfId="0" applyFont="1" applyFill="1" applyBorder="1" applyAlignment="1">
      <alignment horizontal="center" vertical="center" wrapText="1"/>
    </xf>
    <xf numFmtId="0" fontId="94" fillId="10" borderId="159" xfId="0" applyFont="1" applyFill="1" applyBorder="1" applyAlignment="1">
      <alignment horizontal="center" vertical="center" wrapText="1"/>
    </xf>
    <xf numFmtId="0" fontId="78" fillId="40" borderId="0" xfId="2" applyFont="1" applyFill="1" applyBorder="1" applyAlignment="1" applyProtection="1">
      <alignment horizontal="left" vertical="center" wrapText="1"/>
    </xf>
    <xf numFmtId="0" fontId="20" fillId="2" borderId="6" xfId="2" applyFont="1" applyFill="1" applyBorder="1" applyAlignment="1" applyProtection="1">
      <alignment horizontal="left" vertical="center" wrapText="1"/>
    </xf>
    <xf numFmtId="0" fontId="20" fillId="2" borderId="5" xfId="2" applyFont="1" applyFill="1" applyBorder="1" applyAlignment="1" applyProtection="1">
      <alignment horizontal="left" vertical="center" wrapText="1"/>
    </xf>
    <xf numFmtId="0" fontId="30" fillId="10" borderId="144" xfId="0" applyFont="1" applyFill="1" applyBorder="1" applyAlignment="1">
      <alignment horizontal="center" vertical="center"/>
    </xf>
    <xf numFmtId="0" fontId="30" fillId="10" borderId="159" xfId="0" applyFont="1" applyFill="1" applyBorder="1" applyAlignment="1">
      <alignment horizontal="center" vertical="center"/>
    </xf>
    <xf numFmtId="0" fontId="30" fillId="10" borderId="143" xfId="0" applyFont="1" applyFill="1" applyBorder="1" applyAlignment="1">
      <alignment horizontal="center" vertical="center"/>
    </xf>
    <xf numFmtId="0" fontId="30" fillId="14" borderId="176" xfId="2" applyFont="1" applyFill="1" applyBorder="1" applyAlignment="1" applyProtection="1">
      <alignment horizontal="center" vertical="center"/>
    </xf>
    <xf numFmtId="0" fontId="30" fillId="14" borderId="177" xfId="2" applyFont="1" applyFill="1" applyBorder="1" applyAlignment="1" applyProtection="1">
      <alignment horizontal="center" vertical="center"/>
    </xf>
    <xf numFmtId="0" fontId="30" fillId="14" borderId="178" xfId="2" applyFont="1" applyFill="1" applyBorder="1" applyAlignment="1" applyProtection="1">
      <alignment horizontal="center" vertical="center"/>
    </xf>
    <xf numFmtId="0" fontId="30" fillId="14" borderId="179" xfId="2" applyFont="1" applyFill="1" applyBorder="1" applyAlignment="1" applyProtection="1">
      <alignment horizontal="center" vertical="center"/>
    </xf>
    <xf numFmtId="0" fontId="17" fillId="0" borderId="144" xfId="0" applyFont="1" applyFill="1" applyBorder="1" applyAlignment="1">
      <alignment horizontal="right" vertical="center" wrapText="1"/>
    </xf>
    <xf numFmtId="0" fontId="17" fillId="0" borderId="168" xfId="0" applyFont="1" applyFill="1" applyBorder="1" applyAlignment="1">
      <alignment horizontal="right" vertical="center" wrapText="1"/>
    </xf>
    <xf numFmtId="0" fontId="17" fillId="0" borderId="159" xfId="0" applyFont="1" applyFill="1" applyBorder="1" applyAlignment="1">
      <alignment horizontal="right" vertical="center" wrapText="1"/>
    </xf>
    <xf numFmtId="0" fontId="29" fillId="17" borderId="149" xfId="0" applyFont="1" applyFill="1" applyBorder="1" applyAlignment="1">
      <alignment horizontal="center" vertical="center"/>
    </xf>
    <xf numFmtId="0" fontId="29" fillId="17" borderId="150" xfId="0" applyFont="1" applyFill="1" applyBorder="1" applyAlignment="1">
      <alignment horizontal="center" vertical="center"/>
    </xf>
    <xf numFmtId="0" fontId="92" fillId="50" borderId="257" xfId="2" applyFont="1" applyFill="1" applyBorder="1" applyAlignment="1" applyProtection="1">
      <alignment horizontal="center" vertical="center"/>
      <protection locked="0"/>
    </xf>
    <xf numFmtId="0" fontId="92" fillId="50" borderId="258" xfId="2" applyFont="1" applyFill="1" applyBorder="1" applyAlignment="1" applyProtection="1">
      <alignment horizontal="center" vertical="center"/>
      <protection locked="0"/>
    </xf>
    <xf numFmtId="0" fontId="30" fillId="41" borderId="169" xfId="2" applyFont="1" applyFill="1" applyBorder="1" applyAlignment="1" applyProtection="1">
      <alignment vertical="center" wrapText="1"/>
    </xf>
    <xf numFmtId="0" fontId="30" fillId="41" borderId="0" xfId="2" applyFont="1" applyFill="1" applyBorder="1" applyAlignment="1" applyProtection="1">
      <alignment vertical="center" wrapText="1"/>
    </xf>
    <xf numFmtId="1" fontId="15" fillId="50" borderId="257" xfId="0" applyNumberFormat="1" applyFont="1" applyFill="1" applyBorder="1" applyAlignment="1">
      <alignment horizontal="center" vertical="center"/>
    </xf>
    <xf numFmtId="1" fontId="15" fillId="50" borderId="258" xfId="0" applyNumberFormat="1" applyFont="1" applyFill="1" applyBorder="1" applyAlignment="1">
      <alignment horizontal="center" vertical="center"/>
    </xf>
    <xf numFmtId="0" fontId="31" fillId="6" borderId="157" xfId="0" applyFont="1" applyFill="1" applyBorder="1" applyAlignment="1">
      <alignment horizontal="center" vertical="center" wrapText="1"/>
    </xf>
    <xf numFmtId="0" fontId="29" fillId="0" borderId="140" xfId="0" applyFont="1" applyBorder="1" applyAlignment="1">
      <alignment vertical="center"/>
    </xf>
    <xf numFmtId="0" fontId="80" fillId="0" borderId="0" xfId="2" applyFont="1" applyFill="1" applyBorder="1" applyAlignment="1" applyProtection="1">
      <alignment horizontal="center" vertical="center" wrapText="1"/>
    </xf>
    <xf numFmtId="0" fontId="29" fillId="17" borderId="261" xfId="0" applyFont="1" applyFill="1" applyBorder="1" applyAlignment="1">
      <alignment horizontal="center" vertical="center"/>
    </xf>
    <xf numFmtId="0" fontId="29" fillId="17" borderId="262" xfId="0" applyFont="1" applyFill="1" applyBorder="1" applyAlignment="1">
      <alignment horizontal="center" vertical="center"/>
    </xf>
    <xf numFmtId="1" fontId="30" fillId="10" borderId="143" xfId="0" applyNumberFormat="1" applyFont="1" applyFill="1" applyBorder="1" applyAlignment="1">
      <alignment horizontal="center" vertical="center"/>
    </xf>
    <xf numFmtId="0" fontId="16" fillId="50" borderId="257" xfId="0" applyFont="1" applyFill="1" applyBorder="1" applyAlignment="1">
      <alignment horizontal="center" vertical="center"/>
    </xf>
    <xf numFmtId="0" fontId="16" fillId="50" borderId="258" xfId="0" applyFont="1" applyFill="1" applyBorder="1" applyAlignment="1">
      <alignment horizontal="center" vertical="center"/>
    </xf>
    <xf numFmtId="0" fontId="16" fillId="0" borderId="144" xfId="0" applyFont="1" applyBorder="1" applyAlignment="1">
      <alignment horizontal="right" vertical="center"/>
    </xf>
    <xf numFmtId="0" fontId="16" fillId="0" borderId="168" xfId="0" applyFont="1" applyBorder="1" applyAlignment="1">
      <alignment horizontal="right" vertical="center"/>
    </xf>
    <xf numFmtId="0" fontId="16" fillId="0" borderId="159" xfId="0" applyFont="1" applyBorder="1" applyAlignment="1">
      <alignment horizontal="right" vertical="center"/>
    </xf>
    <xf numFmtId="0" fontId="29" fillId="0" borderId="148" xfId="0" applyFont="1" applyBorder="1" applyAlignment="1">
      <alignment vertical="center"/>
    </xf>
    <xf numFmtId="0" fontId="30" fillId="43" borderId="0" xfId="2" applyFont="1" applyFill="1" applyBorder="1" applyAlignment="1" applyProtection="1">
      <alignment horizontal="center" vertical="center" wrapText="1"/>
    </xf>
    <xf numFmtId="0" fontId="30" fillId="43" borderId="147" xfId="2" applyFont="1" applyFill="1" applyBorder="1" applyAlignment="1" applyProtection="1">
      <alignment horizontal="center" vertical="center" wrapText="1"/>
    </xf>
    <xf numFmtId="0" fontId="29" fillId="0" borderId="140" xfId="0" applyFont="1" applyBorder="1" applyAlignment="1">
      <alignment horizontal="left" vertical="center"/>
    </xf>
    <xf numFmtId="0" fontId="29" fillId="0" borderId="140" xfId="0" applyFont="1" applyFill="1" applyBorder="1" applyAlignment="1">
      <alignment horizontal="left" vertical="center" wrapText="1"/>
    </xf>
    <xf numFmtId="0" fontId="29" fillId="17" borderId="140" xfId="0" applyFont="1" applyFill="1" applyBorder="1" applyAlignment="1">
      <alignment horizontal="center" vertical="center"/>
    </xf>
    <xf numFmtId="0" fontId="17" fillId="0" borderId="140" xfId="0" applyFont="1" applyFill="1" applyBorder="1" applyAlignment="1">
      <alignment horizontal="left" vertical="center" wrapText="1"/>
    </xf>
    <xf numFmtId="49" fontId="29" fillId="17" borderId="140" xfId="0" applyNumberFormat="1" applyFont="1" applyFill="1" applyBorder="1" applyAlignment="1">
      <alignment horizontal="center" vertical="center"/>
    </xf>
    <xf numFmtId="0" fontId="29" fillId="0" borderId="149" xfId="0" applyFont="1" applyBorder="1" applyAlignment="1">
      <alignment horizontal="right" vertical="center" wrapText="1"/>
    </xf>
    <xf numFmtId="0" fontId="29" fillId="0" borderId="150" xfId="0" applyFont="1" applyBorder="1" applyAlignment="1">
      <alignment horizontal="right" vertical="center" wrapText="1"/>
    </xf>
    <xf numFmtId="3" fontId="29" fillId="17" borderId="140" xfId="0" applyNumberFormat="1" applyFont="1" applyFill="1" applyBorder="1" applyAlignment="1">
      <alignment horizontal="center" vertical="center"/>
    </xf>
    <xf numFmtId="3" fontId="29" fillId="6" borderId="149" xfId="0" applyNumberFormat="1" applyFont="1" applyFill="1" applyBorder="1" applyAlignment="1">
      <alignment horizontal="center" vertical="center"/>
    </xf>
    <xf numFmtId="3" fontId="29" fillId="6" borderId="150" xfId="0" applyNumberFormat="1" applyFont="1" applyFill="1" applyBorder="1" applyAlignment="1">
      <alignment horizontal="center" vertical="center"/>
    </xf>
    <xf numFmtId="0" fontId="29" fillId="0" borderId="149" xfId="0" applyFont="1" applyFill="1" applyBorder="1" applyAlignment="1">
      <alignment horizontal="left" vertical="center" wrapText="1"/>
    </xf>
    <xf numFmtId="0" fontId="29" fillId="0" borderId="150" xfId="0" applyFont="1" applyFill="1" applyBorder="1" applyAlignment="1">
      <alignment horizontal="left" vertical="center" wrapText="1"/>
    </xf>
    <xf numFmtId="165" fontId="29" fillId="6" borderId="149" xfId="0" applyNumberFormat="1" applyFont="1" applyFill="1" applyBorder="1" applyAlignment="1">
      <alignment horizontal="center" vertical="center"/>
    </xf>
    <xf numFmtId="165" fontId="29" fillId="6" borderId="150" xfId="0" applyNumberFormat="1" applyFont="1" applyFill="1" applyBorder="1" applyAlignment="1">
      <alignment horizontal="center" vertical="center"/>
    </xf>
    <xf numFmtId="0" fontId="30" fillId="0" borderId="23" xfId="0" applyFont="1" applyBorder="1" applyAlignment="1">
      <alignment horizontal="center" vertical="center" wrapText="1"/>
    </xf>
    <xf numFmtId="0" fontId="30" fillId="0" borderId="24" xfId="0" applyFont="1" applyBorder="1" applyAlignment="1">
      <alignment horizontal="center" vertical="center" wrapText="1"/>
    </xf>
    <xf numFmtId="0" fontId="29" fillId="0" borderId="1" xfId="0" applyFont="1" applyBorder="1" applyAlignment="1">
      <alignment horizontal="center" vertical="center" wrapText="1"/>
    </xf>
    <xf numFmtId="0" fontId="29" fillId="0" borderId="9" xfId="0" applyFont="1" applyBorder="1" applyAlignment="1">
      <alignment horizontal="center" vertical="center" wrapText="1"/>
    </xf>
    <xf numFmtId="168" fontId="29" fillId="17" borderId="140" xfId="0" applyNumberFormat="1" applyFont="1" applyFill="1" applyBorder="1" applyAlignment="1">
      <alignment horizontal="center" vertical="center"/>
    </xf>
    <xf numFmtId="0" fontId="20" fillId="0" borderId="34" xfId="0" applyFont="1" applyBorder="1" applyAlignment="1">
      <alignment horizontal="center" vertical="center" wrapText="1"/>
    </xf>
    <xf numFmtId="0" fontId="20" fillId="0" borderId="36" xfId="0" applyFont="1" applyBorder="1" applyAlignment="1">
      <alignment horizontal="center" vertical="center" wrapText="1"/>
    </xf>
    <xf numFmtId="0" fontId="29" fillId="0" borderId="141" xfId="0" applyFont="1" applyBorder="1" applyAlignment="1">
      <alignment horizontal="center" vertical="center" wrapText="1"/>
    </xf>
    <xf numFmtId="0" fontId="29" fillId="0" borderId="142" xfId="0" applyFont="1" applyBorder="1" applyAlignment="1">
      <alignment horizontal="center" vertical="center"/>
    </xf>
    <xf numFmtId="4" fontId="29" fillId="13" borderId="28" xfId="0" applyNumberFormat="1" applyFont="1" applyFill="1" applyBorder="1" applyAlignment="1">
      <alignment horizontal="center" vertical="center"/>
    </xf>
    <xf numFmtId="4" fontId="29" fillId="13" borderId="30" xfId="0" applyNumberFormat="1" applyFont="1" applyFill="1" applyBorder="1" applyAlignment="1">
      <alignment horizontal="center" vertical="center"/>
    </xf>
    <xf numFmtId="0" fontId="70" fillId="0" borderId="0" xfId="0" applyFont="1" applyBorder="1" applyAlignment="1">
      <alignment horizontal="left"/>
    </xf>
    <xf numFmtId="4" fontId="29" fillId="13" borderId="61" xfId="0" applyNumberFormat="1" applyFont="1" applyFill="1" applyBorder="1" applyAlignment="1">
      <alignment horizontal="center" vertical="center"/>
    </xf>
    <xf numFmtId="4" fontId="29" fillId="13" borderId="63" xfId="0" applyNumberFormat="1" applyFont="1" applyFill="1" applyBorder="1" applyAlignment="1">
      <alignment horizontal="center" vertical="center"/>
    </xf>
    <xf numFmtId="0" fontId="72" fillId="0" borderId="158" xfId="0" applyFont="1" applyBorder="1" applyAlignment="1">
      <alignment horizontal="center" vertical="top" wrapText="1"/>
    </xf>
    <xf numFmtId="0" fontId="30" fillId="18" borderId="19" xfId="2" applyFont="1" applyFill="1" applyBorder="1" applyAlignment="1" applyProtection="1">
      <alignment horizontal="center" vertical="center" wrapText="1"/>
    </xf>
    <xf numFmtId="0" fontId="17" fillId="0" borderId="1" xfId="0" applyFont="1" applyBorder="1" applyAlignment="1">
      <alignment vertical="center"/>
    </xf>
    <xf numFmtId="0" fontId="17" fillId="0" borderId="9" xfId="0" applyFont="1" applyBorder="1" applyAlignment="1">
      <alignment vertical="center"/>
    </xf>
    <xf numFmtId="0" fontId="17" fillId="18" borderId="11" xfId="0" applyFont="1" applyFill="1" applyBorder="1" applyAlignment="1">
      <alignment horizontal="center" vertical="center"/>
    </xf>
    <xf numFmtId="0" fontId="17" fillId="0" borderId="23" xfId="0" applyFont="1" applyBorder="1" applyAlignment="1">
      <alignment vertical="center"/>
    </xf>
    <xf numFmtId="0" fontId="17" fillId="0" borderId="24" xfId="0" applyFont="1" applyBorder="1" applyAlignment="1">
      <alignment vertical="center"/>
    </xf>
    <xf numFmtId="0" fontId="17" fillId="18" borderId="85" xfId="0" applyFont="1" applyFill="1" applyBorder="1" applyAlignment="1">
      <alignment horizontal="center" vertical="center"/>
    </xf>
    <xf numFmtId="2" fontId="29" fillId="13" borderId="61" xfId="0" applyNumberFormat="1" applyFont="1" applyFill="1" applyBorder="1" applyAlignment="1">
      <alignment horizontal="center" vertical="center"/>
    </xf>
    <xf numFmtId="2" fontId="29" fillId="13" borderId="63" xfId="0" applyNumberFormat="1" applyFont="1" applyFill="1" applyBorder="1" applyAlignment="1">
      <alignment horizontal="center" vertical="center"/>
    </xf>
    <xf numFmtId="0" fontId="30" fillId="39" borderId="0" xfId="0" applyFont="1" applyFill="1" applyBorder="1" applyAlignment="1">
      <alignment horizontal="center" vertical="center" wrapText="1"/>
    </xf>
    <xf numFmtId="0" fontId="30" fillId="39" borderId="156" xfId="0" applyFont="1" applyFill="1" applyBorder="1" applyAlignment="1">
      <alignment horizontal="center" vertical="center" wrapText="1"/>
    </xf>
    <xf numFmtId="0" fontId="29" fillId="0" borderId="160" xfId="0" applyFont="1" applyFill="1" applyBorder="1" applyAlignment="1">
      <alignment horizontal="center" vertical="center" wrapText="1"/>
    </xf>
    <xf numFmtId="0" fontId="29" fillId="0" borderId="154" xfId="0" applyFont="1" applyFill="1" applyBorder="1" applyAlignment="1">
      <alignment horizontal="center" vertical="center" wrapText="1"/>
    </xf>
    <xf numFmtId="0" fontId="29" fillId="0" borderId="155" xfId="0" applyFont="1" applyFill="1" applyBorder="1" applyAlignment="1">
      <alignment horizontal="center" vertical="center" wrapText="1"/>
    </xf>
    <xf numFmtId="0" fontId="30" fillId="0" borderId="165" xfId="2" applyFont="1" applyFill="1" applyBorder="1" applyAlignment="1" applyProtection="1">
      <alignment horizontal="center" vertical="center"/>
    </xf>
    <xf numFmtId="0" fontId="30" fillId="0" borderId="166" xfId="2" applyFont="1" applyFill="1" applyBorder="1" applyAlignment="1" applyProtection="1">
      <alignment horizontal="center" vertical="center"/>
    </xf>
    <xf numFmtId="0" fontId="17" fillId="0" borderId="161" xfId="0" applyFont="1" applyBorder="1" applyAlignment="1">
      <alignment horizontal="center" vertical="center" wrapText="1"/>
    </xf>
    <xf numFmtId="0" fontId="17" fillId="0" borderId="162" xfId="0" applyFont="1" applyBorder="1" applyAlignment="1">
      <alignment horizontal="center" vertical="center" wrapText="1"/>
    </xf>
    <xf numFmtId="0" fontId="17" fillId="0" borderId="163" xfId="0" applyFont="1" applyBorder="1" applyAlignment="1">
      <alignment horizontal="center" vertical="center" wrapText="1"/>
    </xf>
    <xf numFmtId="0" fontId="17" fillId="0" borderId="164" xfId="0" applyFont="1" applyBorder="1" applyAlignment="1">
      <alignment horizontal="center" vertical="center" wrapText="1"/>
    </xf>
    <xf numFmtId="0" fontId="30" fillId="0" borderId="260" xfId="0" applyFont="1" applyBorder="1" applyAlignment="1">
      <alignment horizontal="center" vertical="center" wrapText="1"/>
    </xf>
    <xf numFmtId="0" fontId="30" fillId="0" borderId="162" xfId="0" applyFont="1" applyBorder="1" applyAlignment="1">
      <alignment horizontal="center" vertical="center" wrapText="1"/>
    </xf>
    <xf numFmtId="0" fontId="30" fillId="42" borderId="146" xfId="2" applyFont="1" applyFill="1" applyBorder="1" applyAlignment="1" applyProtection="1">
      <alignment horizontal="center" vertical="center" wrapText="1"/>
    </xf>
    <xf numFmtId="0" fontId="30" fillId="42" borderId="0" xfId="2" applyFont="1" applyFill="1" applyBorder="1" applyAlignment="1" applyProtection="1">
      <alignment horizontal="center" vertical="center" wrapText="1"/>
    </xf>
    <xf numFmtId="0" fontId="20" fillId="0" borderId="11" xfId="0" applyFont="1" applyBorder="1" applyAlignment="1">
      <alignment horizontal="center" vertical="center" wrapText="1"/>
    </xf>
    <xf numFmtId="0" fontId="20" fillId="0" borderId="12" xfId="0" applyFont="1" applyBorder="1" applyAlignment="1">
      <alignment horizontal="center" vertical="center" wrapText="1"/>
    </xf>
    <xf numFmtId="0" fontId="17" fillId="0" borderId="10" xfId="0" applyFont="1" applyBorder="1" applyAlignment="1">
      <alignment vertical="center" wrapText="1"/>
    </xf>
    <xf numFmtId="0" fontId="17" fillId="0" borderId="11" xfId="0" applyFont="1" applyBorder="1" applyAlignment="1">
      <alignment vertical="center" wrapText="1"/>
    </xf>
    <xf numFmtId="0" fontId="17" fillId="0" borderId="273" xfId="0" applyFont="1" applyBorder="1" applyAlignment="1">
      <alignment vertical="center"/>
    </xf>
    <xf numFmtId="0" fontId="17" fillId="0" borderId="5" xfId="0" applyFont="1" applyBorder="1" applyAlignment="1">
      <alignment vertical="center"/>
    </xf>
    <xf numFmtId="0" fontId="17" fillId="0" borderId="5" xfId="0" applyFont="1" applyBorder="1" applyAlignment="1">
      <alignment horizontal="center" vertical="center"/>
    </xf>
    <xf numFmtId="0" fontId="17" fillId="0" borderId="274" xfId="0" applyFont="1" applyBorder="1" applyAlignment="1">
      <alignment horizontal="center" vertical="center"/>
    </xf>
    <xf numFmtId="0" fontId="20" fillId="0" borderId="21" xfId="0" applyFont="1" applyBorder="1" applyAlignment="1">
      <alignment horizontal="center" vertical="center"/>
    </xf>
    <xf numFmtId="0" fontId="20" fillId="0" borderId="22" xfId="0" applyFont="1" applyBorder="1" applyAlignment="1">
      <alignment horizontal="center" vertical="center"/>
    </xf>
    <xf numFmtId="0" fontId="20" fillId="0" borderId="27" xfId="0" applyFont="1" applyBorder="1" applyAlignment="1">
      <alignment horizontal="center" vertical="center"/>
    </xf>
    <xf numFmtId="0" fontId="20" fillId="0" borderId="28" xfId="0" applyFont="1" applyBorder="1" applyAlignment="1">
      <alignment horizontal="center" vertical="center"/>
    </xf>
    <xf numFmtId="0" fontId="20" fillId="0" borderId="29" xfId="0" applyFont="1" applyBorder="1" applyAlignment="1">
      <alignment horizontal="center" vertical="center"/>
    </xf>
    <xf numFmtId="0" fontId="20" fillId="0" borderId="30" xfId="0" applyFont="1" applyBorder="1" applyAlignment="1">
      <alignment horizontal="center" vertical="center"/>
    </xf>
    <xf numFmtId="0" fontId="17" fillId="0" borderId="33" xfId="0" applyFont="1" applyBorder="1" applyAlignment="1">
      <alignment vertical="center" wrapText="1"/>
    </xf>
    <xf numFmtId="0" fontId="17" fillId="0" borderId="0" xfId="0" applyFont="1" applyBorder="1" applyAlignment="1">
      <alignment vertical="center" wrapText="1"/>
    </xf>
    <xf numFmtId="0" fontId="17" fillId="0" borderId="56" xfId="0" applyFont="1" applyBorder="1" applyAlignment="1">
      <alignment vertical="center" wrapText="1"/>
    </xf>
    <xf numFmtId="0" fontId="20" fillId="0" borderId="10" xfId="0" applyFont="1" applyBorder="1" applyAlignment="1">
      <alignment horizontal="center" vertical="center" wrapText="1"/>
    </xf>
    <xf numFmtId="0" fontId="17" fillId="0" borderId="76" xfId="0" applyFont="1" applyBorder="1" applyAlignment="1">
      <alignment horizontal="center" vertical="center"/>
    </xf>
    <xf numFmtId="0" fontId="17" fillId="0" borderId="0" xfId="0" applyFont="1" applyBorder="1" applyAlignment="1">
      <alignment horizontal="center" vertical="center"/>
    </xf>
    <xf numFmtId="0" fontId="17" fillId="0" borderId="78" xfId="0" applyFont="1" applyBorder="1" applyAlignment="1">
      <alignment horizontal="center" vertical="center"/>
    </xf>
    <xf numFmtId="0" fontId="20" fillId="0" borderId="70" xfId="0" applyFont="1" applyBorder="1" applyAlignment="1">
      <alignment horizontal="center" vertical="center" wrapText="1"/>
    </xf>
    <xf numFmtId="0" fontId="20" fillId="0" borderId="71" xfId="0" applyFont="1" applyBorder="1" applyAlignment="1">
      <alignment horizontal="center" vertical="center" wrapText="1"/>
    </xf>
    <xf numFmtId="0" fontId="20" fillId="0" borderId="72" xfId="0" applyFont="1" applyBorder="1" applyAlignment="1">
      <alignment horizontal="center" vertical="center" wrapText="1"/>
    </xf>
    <xf numFmtId="0" fontId="20" fillId="0" borderId="76" xfId="0" applyFont="1" applyBorder="1" applyAlignment="1">
      <alignment horizontal="center" vertical="center" wrapText="1"/>
    </xf>
    <xf numFmtId="0" fontId="20" fillId="0" borderId="0" xfId="0" applyFont="1" applyBorder="1" applyAlignment="1">
      <alignment horizontal="center" vertical="center" wrapText="1"/>
    </xf>
    <xf numFmtId="0" fontId="20" fillId="0" borderId="78" xfId="0" applyFont="1" applyBorder="1" applyAlignment="1">
      <alignment horizontal="center" vertical="center" wrapText="1"/>
    </xf>
    <xf numFmtId="0" fontId="17" fillId="0" borderId="76" xfId="0" applyFont="1" applyBorder="1" applyAlignment="1">
      <alignment horizontal="center" vertical="center" wrapText="1"/>
    </xf>
    <xf numFmtId="0" fontId="17" fillId="0" borderId="120" xfId="0" applyFont="1" applyBorder="1" applyAlignment="1">
      <alignment horizontal="center" vertical="center"/>
    </xf>
    <xf numFmtId="0" fontId="17" fillId="0" borderId="41" xfId="0" applyFont="1" applyBorder="1" applyAlignment="1">
      <alignment horizontal="center" vertical="center"/>
    </xf>
    <xf numFmtId="0" fontId="17" fillId="0" borderId="0" xfId="0" applyFont="1" applyBorder="1" applyAlignment="1">
      <alignment horizontal="center" vertical="center" wrapText="1"/>
    </xf>
    <xf numFmtId="0" fontId="17" fillId="0" borderId="102" xfId="0" applyFont="1" applyBorder="1" applyAlignment="1">
      <alignment horizontal="center" vertical="center"/>
    </xf>
    <xf numFmtId="3" fontId="89" fillId="49" borderId="224" xfId="0" applyNumberFormat="1" applyFont="1" applyFill="1" applyBorder="1" applyAlignment="1">
      <alignment horizontal="right" vertical="center" wrapText="1"/>
    </xf>
    <xf numFmtId="3" fontId="89" fillId="49" borderId="225" xfId="0" applyNumberFormat="1" applyFont="1" applyFill="1" applyBorder="1" applyAlignment="1">
      <alignment horizontal="right" vertical="center" wrapText="1"/>
    </xf>
    <xf numFmtId="3" fontId="89" fillId="49" borderId="227" xfId="0" applyNumberFormat="1" applyFont="1" applyFill="1" applyBorder="1" applyAlignment="1">
      <alignment horizontal="right" vertical="center" wrapText="1"/>
    </xf>
    <xf numFmtId="3" fontId="89" fillId="49" borderId="0" xfId="0" applyNumberFormat="1" applyFont="1" applyFill="1" applyBorder="1" applyAlignment="1">
      <alignment horizontal="right" vertical="center" wrapText="1"/>
    </xf>
    <xf numFmtId="3" fontId="89" fillId="49" borderId="230" xfId="0" applyNumberFormat="1" applyFont="1" applyFill="1" applyBorder="1" applyAlignment="1">
      <alignment horizontal="right" vertical="center" wrapText="1"/>
    </xf>
    <xf numFmtId="3" fontId="89" fillId="49" borderId="231" xfId="0" applyNumberFormat="1" applyFont="1" applyFill="1" applyBorder="1" applyAlignment="1">
      <alignment horizontal="right" vertical="center" wrapText="1"/>
    </xf>
    <xf numFmtId="170" fontId="89" fillId="49" borderId="269" xfId="0" applyNumberFormat="1" applyFont="1" applyFill="1" applyBorder="1" applyAlignment="1">
      <alignment horizontal="right" vertical="center"/>
    </xf>
    <xf numFmtId="170" fontId="89" fillId="49" borderId="270" xfId="0" applyNumberFormat="1" applyFont="1" applyFill="1" applyBorder="1" applyAlignment="1">
      <alignment horizontal="right" vertical="center"/>
    </xf>
    <xf numFmtId="3" fontId="89" fillId="49" borderId="266" xfId="0" applyNumberFormat="1" applyFont="1" applyFill="1" applyBorder="1" applyAlignment="1">
      <alignment horizontal="right" vertical="center"/>
    </xf>
    <xf numFmtId="3" fontId="89" fillId="49" borderId="267" xfId="0" applyNumberFormat="1" applyFont="1" applyFill="1" applyBorder="1" applyAlignment="1">
      <alignment horizontal="right" vertical="center"/>
    </xf>
    <xf numFmtId="0" fontId="20" fillId="9" borderId="229" xfId="0" applyFont="1" applyFill="1" applyBorder="1" applyAlignment="1">
      <alignment horizontal="right" vertical="center" wrapText="1"/>
    </xf>
    <xf numFmtId="0" fontId="20" fillId="9" borderId="184" xfId="0" applyFont="1" applyFill="1" applyBorder="1" applyAlignment="1">
      <alignment horizontal="right" vertical="center" wrapText="1"/>
    </xf>
    <xf numFmtId="0" fontId="20" fillId="9" borderId="233" xfId="0" applyFont="1" applyFill="1" applyBorder="1" applyAlignment="1">
      <alignment horizontal="right" vertical="center" wrapText="1"/>
    </xf>
    <xf numFmtId="0" fontId="17" fillId="9" borderId="0" xfId="0" applyFont="1" applyFill="1" applyBorder="1" applyAlignment="1">
      <alignment horizontal="center" vertical="center" wrapText="1"/>
    </xf>
    <xf numFmtId="0" fontId="17" fillId="9" borderId="189" xfId="0" applyFont="1" applyFill="1" applyBorder="1" applyAlignment="1">
      <alignment horizontal="center" vertical="center" wrapText="1"/>
    </xf>
    <xf numFmtId="3" fontId="89" fillId="49" borderId="263" xfId="0" applyNumberFormat="1" applyFont="1" applyFill="1" applyBorder="1" applyAlignment="1">
      <alignment horizontal="right" vertical="center"/>
    </xf>
    <xf numFmtId="3" fontId="89" fillId="49" borderId="264" xfId="0" applyNumberFormat="1" applyFont="1" applyFill="1" applyBorder="1" applyAlignment="1">
      <alignment horizontal="right" vertical="center"/>
    </xf>
    <xf numFmtId="0" fontId="20" fillId="17" borderId="200" xfId="0" applyFont="1" applyFill="1" applyBorder="1" applyAlignment="1">
      <alignment vertical="center"/>
    </xf>
    <xf numFmtId="0" fontId="20" fillId="17" borderId="201" xfId="0" applyFont="1" applyFill="1" applyBorder="1" applyAlignment="1">
      <alignment vertical="center"/>
    </xf>
    <xf numFmtId="0" fontId="20" fillId="17" borderId="198" xfId="0" applyFont="1" applyFill="1" applyBorder="1" applyAlignment="1">
      <alignment vertical="center"/>
    </xf>
    <xf numFmtId="0" fontId="20" fillId="17" borderId="199" xfId="0" applyFont="1" applyFill="1" applyBorder="1" applyAlignment="1">
      <alignment vertical="center"/>
    </xf>
    <xf numFmtId="0" fontId="17" fillId="17" borderId="212" xfId="0" applyFont="1" applyFill="1" applyBorder="1" applyAlignment="1">
      <alignment vertical="center" wrapText="1"/>
    </xf>
    <xf numFmtId="0" fontId="17" fillId="17" borderId="185" xfId="0" applyFont="1" applyFill="1" applyBorder="1" applyAlignment="1">
      <alignment vertical="center" wrapText="1"/>
    </xf>
    <xf numFmtId="0" fontId="17" fillId="17" borderId="213" xfId="0" applyFont="1" applyFill="1" applyBorder="1" applyAlignment="1">
      <alignment vertical="center" wrapText="1"/>
    </xf>
    <xf numFmtId="0" fontId="17" fillId="17" borderId="186" xfId="0" applyFont="1" applyFill="1" applyBorder="1" applyAlignment="1">
      <alignment vertical="center" wrapText="1"/>
    </xf>
    <xf numFmtId="0" fontId="20" fillId="17" borderId="187" xfId="0" applyFont="1" applyFill="1" applyBorder="1" applyAlignment="1">
      <alignment horizontal="center" vertical="center"/>
    </xf>
    <xf numFmtId="0" fontId="20" fillId="17" borderId="188" xfId="0" applyFont="1" applyFill="1" applyBorder="1" applyAlignment="1">
      <alignment horizontal="center" vertical="center"/>
    </xf>
    <xf numFmtId="0" fontId="91" fillId="14" borderId="0" xfId="2" applyFont="1" applyFill="1" applyBorder="1" applyAlignment="1" applyProtection="1">
      <alignment horizontal="left" vertical="center" wrapText="1"/>
    </xf>
    <xf numFmtId="0" fontId="17" fillId="46" borderId="190" xfId="0" applyFont="1" applyFill="1" applyBorder="1" applyAlignment="1">
      <alignment vertical="center" wrapText="1"/>
    </xf>
    <xf numFmtId="0" fontId="17" fillId="46" borderId="157" xfId="0" applyFont="1" applyFill="1" applyBorder="1" applyAlignment="1">
      <alignment vertical="center" wrapText="1"/>
    </xf>
    <xf numFmtId="0" fontId="17" fillId="46" borderId="191" xfId="0" applyFont="1" applyFill="1" applyBorder="1" applyAlignment="1">
      <alignment vertical="center" wrapText="1"/>
    </xf>
    <xf numFmtId="0" fontId="17" fillId="46" borderId="192" xfId="0" applyFont="1" applyFill="1" applyBorder="1" applyAlignment="1">
      <alignment vertical="center" wrapText="1"/>
    </xf>
    <xf numFmtId="0" fontId="17" fillId="17" borderId="215" xfId="0" applyFont="1" applyFill="1" applyBorder="1" applyAlignment="1">
      <alignment vertical="center" wrapText="1"/>
    </xf>
    <xf numFmtId="0" fontId="17" fillId="17" borderId="187" xfId="0" applyFont="1" applyFill="1" applyBorder="1" applyAlignment="1">
      <alignment vertical="center" wrapText="1"/>
    </xf>
    <xf numFmtId="0" fontId="17" fillId="17" borderId="216" xfId="0" applyFont="1" applyFill="1" applyBorder="1" applyAlignment="1">
      <alignment vertical="center" wrapText="1"/>
    </xf>
    <xf numFmtId="0" fontId="17" fillId="17" borderId="188" xfId="0" applyFont="1" applyFill="1" applyBorder="1" applyAlignment="1">
      <alignment vertical="center" wrapText="1"/>
    </xf>
    <xf numFmtId="0" fontId="17" fillId="17" borderId="221" xfId="0" applyFont="1" applyFill="1" applyBorder="1" applyAlignment="1">
      <alignment horizontal="center" vertical="center"/>
    </xf>
    <xf numFmtId="0" fontId="17" fillId="17" borderId="222" xfId="0" applyFont="1" applyFill="1" applyBorder="1" applyAlignment="1">
      <alignment horizontal="center" vertical="center"/>
    </xf>
    <xf numFmtId="0" fontId="17" fillId="17" borderId="206" xfId="0" applyFont="1" applyFill="1" applyBorder="1" applyAlignment="1">
      <alignment horizontal="center" vertical="center"/>
    </xf>
    <xf numFmtId="0" fontId="17" fillId="17" borderId="202" xfId="0" applyFont="1" applyFill="1" applyBorder="1" applyAlignment="1">
      <alignment horizontal="center" vertical="center"/>
    </xf>
    <xf numFmtId="0" fontId="17" fillId="17" borderId="212" xfId="0" applyFont="1" applyFill="1" applyBorder="1" applyAlignment="1">
      <alignment horizontal="right" vertical="center" wrapText="1"/>
    </xf>
    <xf numFmtId="0" fontId="17" fillId="17" borderId="198" xfId="0" applyFont="1" applyFill="1" applyBorder="1" applyAlignment="1">
      <alignment horizontal="right" vertical="center" wrapText="1"/>
    </xf>
    <xf numFmtId="0" fontId="17" fillId="17" borderId="219" xfId="0" applyFont="1" applyFill="1" applyBorder="1" applyAlignment="1">
      <alignment horizontal="right" vertical="center" wrapText="1"/>
    </xf>
    <xf numFmtId="0" fontId="17" fillId="17" borderId="213" xfId="0" applyFont="1" applyFill="1" applyBorder="1" applyAlignment="1">
      <alignment horizontal="right" vertical="center" wrapText="1"/>
    </xf>
    <xf numFmtId="0" fontId="17" fillId="17" borderId="199" xfId="0" applyFont="1" applyFill="1" applyBorder="1" applyAlignment="1">
      <alignment horizontal="right" vertical="center" wrapText="1"/>
    </xf>
    <xf numFmtId="0" fontId="17" fillId="17" borderId="220" xfId="0" applyFont="1" applyFill="1" applyBorder="1" applyAlignment="1">
      <alignment horizontal="right" vertical="center" wrapText="1"/>
    </xf>
    <xf numFmtId="0" fontId="85" fillId="3" borderId="234" xfId="0" applyFont="1" applyFill="1" applyBorder="1" applyAlignment="1">
      <alignment horizontal="center" vertical="center" wrapText="1"/>
    </xf>
    <xf numFmtId="0" fontId="85" fillId="3" borderId="235" xfId="0" applyFont="1" applyFill="1" applyBorder="1" applyAlignment="1">
      <alignment horizontal="center" vertical="center"/>
    </xf>
    <xf numFmtId="0" fontId="85" fillId="3" borderId="236" xfId="0" applyFont="1" applyFill="1" applyBorder="1" applyAlignment="1">
      <alignment horizontal="center" vertical="center"/>
    </xf>
    <xf numFmtId="0" fontId="85" fillId="3" borderId="237" xfId="0" applyFont="1" applyFill="1" applyBorder="1" applyAlignment="1">
      <alignment horizontal="center" vertical="center"/>
    </xf>
    <xf numFmtId="0" fontId="85" fillId="3" borderId="0" xfId="0" applyFont="1" applyFill="1" applyBorder="1" applyAlignment="1">
      <alignment horizontal="center" vertical="center"/>
    </xf>
    <xf numFmtId="0" fontId="85" fillId="3" borderId="238" xfId="0" applyFont="1" applyFill="1" applyBorder="1" applyAlignment="1">
      <alignment horizontal="center" vertical="center"/>
    </xf>
    <xf numFmtId="0" fontId="36" fillId="15" borderId="195" xfId="0" applyFont="1" applyFill="1" applyBorder="1" applyAlignment="1">
      <alignment horizontal="center" vertical="center" wrapText="1"/>
    </xf>
    <xf numFmtId="0" fontId="36" fillId="15" borderId="196" xfId="0" applyFont="1" applyFill="1" applyBorder="1" applyAlignment="1">
      <alignment horizontal="center" vertical="center" wrapText="1"/>
    </xf>
    <xf numFmtId="0" fontId="17" fillId="15" borderId="194" xfId="0" applyFont="1" applyFill="1" applyBorder="1" applyAlignment="1">
      <alignment horizontal="center" vertical="center" wrapText="1"/>
    </xf>
    <xf numFmtId="0" fontId="17" fillId="15" borderId="197" xfId="0" applyFont="1" applyFill="1" applyBorder="1" applyAlignment="1">
      <alignment horizontal="center" vertical="center" wrapText="1"/>
    </xf>
    <xf numFmtId="0" fontId="36" fillId="15" borderId="223" xfId="0" applyFont="1" applyFill="1" applyBorder="1" applyAlignment="1">
      <alignment horizontal="center" vertical="center" wrapText="1"/>
    </xf>
    <xf numFmtId="0" fontId="17" fillId="0" borderId="8" xfId="0" applyFont="1" applyBorder="1" applyAlignment="1">
      <alignment vertical="center"/>
    </xf>
    <xf numFmtId="0" fontId="17" fillId="0" borderId="6" xfId="0" applyFont="1" applyBorder="1" applyAlignment="1">
      <alignment vertical="center"/>
    </xf>
    <xf numFmtId="0" fontId="17" fillId="0" borderId="6" xfId="0" applyFont="1" applyBorder="1" applyAlignment="1">
      <alignment horizontal="center" vertical="center"/>
    </xf>
    <xf numFmtId="0" fontId="17" fillId="0" borderId="7" xfId="0" applyFont="1" applyBorder="1" applyAlignment="1">
      <alignment horizontal="center" vertical="center"/>
    </xf>
    <xf numFmtId="0" fontId="17" fillId="0" borderId="10" xfId="0" applyFont="1" applyBorder="1" applyAlignment="1">
      <alignment horizontal="left" vertical="center" wrapText="1"/>
    </xf>
    <xf numFmtId="0" fontId="17" fillId="0" borderId="11" xfId="0" applyFont="1" applyBorder="1" applyAlignment="1">
      <alignment horizontal="left" vertical="center" wrapText="1"/>
    </xf>
    <xf numFmtId="0" fontId="17" fillId="0" borderId="11" xfId="0" applyFont="1" applyBorder="1" applyAlignment="1">
      <alignment horizontal="center" vertical="center" wrapText="1"/>
    </xf>
    <xf numFmtId="0" fontId="17" fillId="0" borderId="12" xfId="0" applyFont="1" applyBorder="1" applyAlignment="1">
      <alignment horizontal="center" vertical="center" wrapText="1"/>
    </xf>
    <xf numFmtId="0" fontId="17" fillId="0" borderId="15" xfId="0" applyFont="1" applyBorder="1" applyAlignment="1">
      <alignment horizontal="center" vertical="center" wrapText="1"/>
    </xf>
    <xf numFmtId="0" fontId="17" fillId="0" borderId="171" xfId="0" applyFont="1" applyBorder="1" applyAlignment="1">
      <alignment horizontal="center" vertical="center" wrapText="1"/>
    </xf>
    <xf numFmtId="0" fontId="17" fillId="0" borderId="68" xfId="0" applyFont="1" applyBorder="1" applyAlignment="1">
      <alignment horizontal="center" vertical="center" wrapText="1"/>
    </xf>
    <xf numFmtId="0" fontId="17" fillId="0" borderId="56" xfId="0" applyFont="1" applyBorder="1" applyAlignment="1">
      <alignment horizontal="center" vertical="center" wrapText="1"/>
    </xf>
    <xf numFmtId="0" fontId="17" fillId="0" borderId="84" xfId="0" applyFont="1" applyBorder="1" applyAlignment="1">
      <alignment horizontal="center" vertical="center" wrapText="1"/>
    </xf>
    <xf numFmtId="0" fontId="17" fillId="0" borderId="42" xfId="0" applyFont="1" applyBorder="1" applyAlignment="1">
      <alignment horizontal="center" vertical="center" wrapText="1"/>
    </xf>
    <xf numFmtId="0" fontId="36" fillId="0" borderId="170" xfId="0" applyFont="1" applyBorder="1" applyAlignment="1">
      <alignment vertical="center" wrapText="1"/>
    </xf>
    <xf numFmtId="0" fontId="36" fillId="0" borderId="5" xfId="0" applyFont="1" applyBorder="1" applyAlignment="1">
      <alignment vertical="center" wrapText="1"/>
    </xf>
    <xf numFmtId="0" fontId="36" fillId="0" borderId="171" xfId="0" applyFont="1" applyBorder="1" applyAlignment="1">
      <alignment vertical="center" wrapText="1"/>
    </xf>
    <xf numFmtId="0" fontId="36" fillId="0" borderId="33" xfId="0" applyFont="1" applyBorder="1" applyAlignment="1">
      <alignment vertical="center" wrapText="1"/>
    </xf>
    <xf numFmtId="0" fontId="36" fillId="0" borderId="0" xfId="0" applyFont="1" applyBorder="1" applyAlignment="1">
      <alignment vertical="center" wrapText="1"/>
    </xf>
    <xf numFmtId="0" fontId="36" fillId="0" borderId="56" xfId="0" applyFont="1" applyBorder="1" applyAlignment="1">
      <alignment vertical="center" wrapText="1"/>
    </xf>
    <xf numFmtId="0" fontId="36" fillId="0" borderId="28" xfId="0" applyFont="1" applyBorder="1" applyAlignment="1">
      <alignment vertical="center" wrapText="1"/>
    </xf>
    <xf numFmtId="0" fontId="36" fillId="0" borderId="29" xfId="0" applyFont="1" applyBorder="1" applyAlignment="1">
      <alignment vertical="center" wrapText="1"/>
    </xf>
    <xf numFmtId="0" fontId="36" fillId="0" borderId="30" xfId="0" applyFont="1" applyBorder="1" applyAlignment="1">
      <alignment vertical="center" wrapText="1"/>
    </xf>
    <xf numFmtId="0" fontId="17" fillId="0" borderId="170" xfId="0" applyFont="1" applyBorder="1" applyAlignment="1">
      <alignment horizontal="left" vertical="center" wrapText="1"/>
    </xf>
    <xf numFmtId="0" fontId="17" fillId="0" borderId="5" xfId="0" applyFont="1" applyBorder="1" applyAlignment="1">
      <alignment horizontal="left" vertical="center" wrapText="1"/>
    </xf>
    <xf numFmtId="0" fontId="17" fillId="0" borderId="16" xfId="0" applyFont="1" applyBorder="1" applyAlignment="1">
      <alignment horizontal="left" vertical="center" wrapText="1"/>
    </xf>
    <xf numFmtId="0" fontId="17" fillId="0" borderId="33" xfId="0" applyFont="1" applyBorder="1" applyAlignment="1">
      <alignment horizontal="left" vertical="center" wrapText="1"/>
    </xf>
    <xf numFmtId="0" fontId="17" fillId="0" borderId="0" xfId="0" applyFont="1" applyBorder="1" applyAlignment="1">
      <alignment horizontal="left" vertical="center" wrapText="1"/>
    </xf>
    <xf numFmtId="0" fontId="17" fillId="0" borderId="37" xfId="0" applyFont="1" applyBorder="1" applyAlignment="1">
      <alignment horizontal="left" vertical="center" wrapText="1"/>
    </xf>
    <xf numFmtId="0" fontId="17" fillId="0" borderId="40" xfId="0" applyFont="1" applyBorder="1" applyAlignment="1">
      <alignment horizontal="left" vertical="center" wrapText="1"/>
    </xf>
    <xf numFmtId="0" fontId="17" fillId="0" borderId="41" xfId="0" applyFont="1" applyBorder="1" applyAlignment="1">
      <alignment horizontal="left" vertical="center" wrapText="1"/>
    </xf>
    <xf numFmtId="0" fontId="17" fillId="0" borderId="38" xfId="0" applyFont="1" applyBorder="1" applyAlignment="1">
      <alignment horizontal="left" vertical="center" wrapText="1"/>
    </xf>
    <xf numFmtId="0" fontId="17" fillId="0" borderId="16" xfId="0" applyFont="1" applyBorder="1" applyAlignment="1">
      <alignment horizontal="center" vertical="center" wrapText="1"/>
    </xf>
    <xf numFmtId="0" fontId="17" fillId="0" borderId="37" xfId="0" applyFont="1" applyBorder="1" applyAlignment="1">
      <alignment horizontal="center" vertical="center" wrapText="1"/>
    </xf>
    <xf numFmtId="0" fontId="17" fillId="0" borderId="38" xfId="0" applyFont="1" applyBorder="1" applyAlignment="1">
      <alignment horizontal="center" vertical="center" wrapText="1"/>
    </xf>
    <xf numFmtId="0" fontId="17" fillId="0" borderId="11" xfId="0" applyFont="1" applyBorder="1" applyAlignment="1">
      <alignment horizontal="center" vertical="center"/>
    </xf>
    <xf numFmtId="0" fontId="17" fillId="0" borderId="13" xfId="0" applyFont="1" applyBorder="1" applyAlignment="1">
      <alignment horizontal="center" vertical="center"/>
    </xf>
    <xf numFmtId="0" fontId="17" fillId="0" borderId="14" xfId="0" applyFont="1" applyBorder="1" applyAlignment="1">
      <alignment horizontal="center" vertical="center" wrapText="1"/>
    </xf>
    <xf numFmtId="0" fontId="17" fillId="0" borderId="14" xfId="0" applyFont="1" applyBorder="1" applyAlignment="1">
      <alignment horizontal="center" vertical="center"/>
    </xf>
    <xf numFmtId="0" fontId="78" fillId="48" borderId="0" xfId="2" applyFont="1" applyFill="1" applyBorder="1" applyAlignment="1" applyProtection="1">
      <alignment horizontal="left" vertical="center" wrapText="1"/>
    </xf>
    <xf numFmtId="4" fontId="89" fillId="49" borderId="266" xfId="0" applyNumberFormat="1" applyFont="1" applyFill="1" applyBorder="1" applyAlignment="1">
      <alignment horizontal="right" vertical="center"/>
    </xf>
    <xf numFmtId="4" fontId="89" fillId="49" borderId="267" xfId="0" applyNumberFormat="1" applyFont="1" applyFill="1" applyBorder="1" applyAlignment="1">
      <alignment horizontal="right" vertical="center"/>
    </xf>
    <xf numFmtId="4" fontId="89" fillId="49" borderId="269" xfId="0" applyNumberFormat="1" applyFont="1" applyFill="1" applyBorder="1" applyAlignment="1">
      <alignment horizontal="right" vertical="center"/>
    </xf>
    <xf numFmtId="4" fontId="89" fillId="49" borderId="270" xfId="0" applyNumberFormat="1" applyFont="1" applyFill="1" applyBorder="1" applyAlignment="1">
      <alignment horizontal="right" vertical="center"/>
    </xf>
    <xf numFmtId="0" fontId="77" fillId="0" borderId="82" xfId="0" applyFont="1" applyBorder="1" applyAlignment="1" applyProtection="1">
      <alignment horizontal="center" vertical="center"/>
    </xf>
    <xf numFmtId="0" fontId="77" fillId="0" borderId="22" xfId="0" applyFont="1" applyBorder="1" applyAlignment="1" applyProtection="1">
      <alignment horizontal="center" vertical="center"/>
    </xf>
    <xf numFmtId="0" fontId="66" fillId="0" borderId="0" xfId="0" applyFont="1" applyBorder="1" applyAlignment="1" applyProtection="1">
      <alignment horizontal="left" vertical="center"/>
    </xf>
    <xf numFmtId="0" fontId="61" fillId="0" borderId="0" xfId="0" applyFont="1" applyAlignment="1" applyProtection="1">
      <alignment vertical="center" wrapText="1"/>
    </xf>
    <xf numFmtId="0" fontId="20" fillId="0" borderId="0" xfId="0" applyFont="1" applyAlignment="1" applyProtection="1">
      <alignment horizontal="right" vertical="center" wrapText="1"/>
    </xf>
    <xf numFmtId="0" fontId="20" fillId="0" borderId="0" xfId="0" applyFont="1" applyAlignment="1">
      <alignment horizontal="right" vertical="center" wrapText="1"/>
    </xf>
    <xf numFmtId="0" fontId="67" fillId="0" borderId="0" xfId="0" applyFont="1" applyAlignment="1" applyProtection="1">
      <alignment horizontal="right" vertical="center"/>
    </xf>
    <xf numFmtId="0" fontId="38" fillId="0" borderId="125" xfId="0" applyFont="1" applyBorder="1" applyAlignment="1" applyProtection="1">
      <alignment horizontal="center" vertical="center"/>
    </xf>
    <xf numFmtId="0" fontId="38" fillId="0" borderId="115" xfId="0" applyFont="1" applyBorder="1" applyAlignment="1" applyProtection="1">
      <alignment horizontal="center" vertical="center"/>
    </xf>
    <xf numFmtId="0" fontId="63" fillId="0" borderId="76" xfId="0" applyFont="1" applyBorder="1" applyAlignment="1" applyProtection="1">
      <alignment horizontal="left" vertical="center" wrapText="1"/>
    </xf>
    <xf numFmtId="0" fontId="63" fillId="0" borderId="0" xfId="0" applyFont="1" applyBorder="1" applyAlignment="1" applyProtection="1">
      <alignment horizontal="left" vertical="center" wrapText="1"/>
    </xf>
    <xf numFmtId="0" fontId="63" fillId="0" borderId="78" xfId="0" applyFont="1" applyBorder="1" applyAlignment="1" applyProtection="1">
      <alignment horizontal="left" vertical="center" wrapText="1"/>
    </xf>
    <xf numFmtId="0" fontId="63" fillId="0" borderId="73" xfId="0" applyFont="1" applyBorder="1" applyAlignment="1" applyProtection="1">
      <alignment horizontal="left" vertical="center" wrapText="1"/>
    </xf>
    <xf numFmtId="0" fontId="63" fillId="0" borderId="74" xfId="0" applyFont="1" applyBorder="1" applyAlignment="1" applyProtection="1">
      <alignment horizontal="left" vertical="center" wrapText="1"/>
    </xf>
    <xf numFmtId="0" fontId="63" fillId="0" borderId="75" xfId="0" applyFont="1" applyBorder="1" applyAlignment="1" applyProtection="1">
      <alignment horizontal="left" vertical="center" wrapText="1"/>
    </xf>
    <xf numFmtId="0" fontId="65" fillId="0" borderId="71" xfId="0" applyFont="1" applyBorder="1" applyAlignment="1" applyProtection="1">
      <alignment horizontal="left" vertical="center" wrapText="1"/>
    </xf>
    <xf numFmtId="0" fontId="65" fillId="0" borderId="0" xfId="0" applyFont="1" applyBorder="1" applyAlignment="1" applyProtection="1">
      <alignment horizontal="left" vertical="center" wrapText="1"/>
    </xf>
    <xf numFmtId="0" fontId="38" fillId="0" borderId="116" xfId="0" applyFont="1" applyBorder="1" applyAlignment="1" applyProtection="1">
      <alignment horizontal="center" vertical="center"/>
    </xf>
    <xf numFmtId="0" fontId="38" fillId="0" borderId="98" xfId="0" applyFont="1" applyBorder="1" applyAlignment="1" applyProtection="1">
      <alignment horizontal="center" vertical="center"/>
    </xf>
    <xf numFmtId="0" fontId="77" fillId="0" borderId="76" xfId="0" applyFont="1" applyBorder="1" applyAlignment="1" applyProtection="1">
      <alignment horizontal="center" vertical="center"/>
    </xf>
    <xf numFmtId="0" fontId="77" fillId="0" borderId="0" xfId="0" applyFont="1" applyBorder="1" applyAlignment="1" applyProtection="1">
      <alignment horizontal="center" vertical="center"/>
    </xf>
    <xf numFmtId="0" fontId="38" fillId="0" borderId="41" xfId="0" applyFont="1" applyBorder="1" applyAlignment="1" applyProtection="1">
      <alignment horizontal="center" vertical="center"/>
    </xf>
    <xf numFmtId="0" fontId="38" fillId="0" borderId="102" xfId="0" applyFont="1" applyBorder="1" applyAlignment="1" applyProtection="1">
      <alignment horizontal="center" vertical="center"/>
    </xf>
    <xf numFmtId="0" fontId="49" fillId="0" borderId="76" xfId="0" applyFont="1" applyBorder="1" applyAlignment="1" applyProtection="1">
      <alignment vertical="center" wrapText="1"/>
    </xf>
    <xf numFmtId="0" fontId="49" fillId="0" borderId="0" xfId="0" applyFont="1" applyBorder="1" applyAlignment="1" applyProtection="1">
      <alignment vertical="center" wrapText="1"/>
    </xf>
    <xf numFmtId="0" fontId="49" fillId="0" borderId="78" xfId="0" applyFont="1" applyBorder="1" applyAlignment="1" applyProtection="1">
      <alignment vertical="center" wrapText="1"/>
    </xf>
    <xf numFmtId="0" fontId="49" fillId="0" borderId="120" xfId="0" applyFont="1" applyBorder="1" applyAlignment="1" applyProtection="1">
      <alignment vertical="center" wrapText="1"/>
    </xf>
    <xf numFmtId="0" fontId="49" fillId="0" borderId="41" xfId="0" applyFont="1" applyBorder="1" applyAlignment="1" applyProtection="1">
      <alignment vertical="center" wrapText="1"/>
    </xf>
    <xf numFmtId="0" fontId="49" fillId="0" borderId="102" xfId="0" applyFont="1" applyBorder="1" applyAlignment="1" applyProtection="1">
      <alignment vertical="center" wrapText="1"/>
    </xf>
    <xf numFmtId="0" fontId="50" fillId="0" borderId="112" xfId="0" applyFont="1" applyBorder="1" applyAlignment="1" applyProtection="1">
      <alignment horizontal="center" vertical="center"/>
    </xf>
    <xf numFmtId="0" fontId="50" fillId="0" borderId="59" xfId="0" applyFont="1" applyBorder="1" applyAlignment="1" applyProtection="1">
      <alignment horizontal="center" vertical="center"/>
    </xf>
    <xf numFmtId="0" fontId="38" fillId="29" borderId="13" xfId="0" applyFont="1" applyFill="1" applyBorder="1" applyAlignment="1" applyProtection="1">
      <alignment horizontal="center" vertical="center"/>
    </xf>
    <xf numFmtId="0" fontId="38" fillId="29" borderId="14" xfId="0" applyFont="1" applyFill="1" applyBorder="1" applyAlignment="1" applyProtection="1">
      <alignment horizontal="center" vertical="center"/>
    </xf>
    <xf numFmtId="0" fontId="17" fillId="0" borderId="103" xfId="0" applyFont="1" applyFill="1" applyBorder="1" applyAlignment="1" applyProtection="1">
      <alignment horizontal="center" vertical="center"/>
    </xf>
    <xf numFmtId="0" fontId="17" fillId="0" borderId="45" xfId="0" applyFont="1" applyFill="1" applyBorder="1" applyAlignment="1" applyProtection="1">
      <alignment horizontal="center" vertical="center"/>
    </xf>
    <xf numFmtId="0" fontId="20" fillId="0" borderId="104" xfId="0" applyFont="1" applyFill="1" applyBorder="1" applyAlignment="1" applyProtection="1">
      <alignment horizontal="center" vertical="center"/>
    </xf>
    <xf numFmtId="0" fontId="20" fillId="0" borderId="113" xfId="0" applyFont="1" applyFill="1" applyBorder="1" applyAlignment="1" applyProtection="1">
      <alignment horizontal="center" vertical="center"/>
    </xf>
    <xf numFmtId="167" fontId="38" fillId="29" borderId="1" xfId="0" applyNumberFormat="1" applyFont="1" applyFill="1" applyBorder="1" applyAlignment="1" applyProtection="1">
      <alignment horizontal="center" vertical="center"/>
    </xf>
    <xf numFmtId="167" fontId="38" fillId="29" borderId="9" xfId="0" applyNumberFormat="1" applyFont="1" applyFill="1" applyBorder="1" applyAlignment="1" applyProtection="1">
      <alignment horizontal="center" vertical="center"/>
    </xf>
    <xf numFmtId="0" fontId="17" fillId="0" borderId="112" xfId="0" applyFont="1" applyBorder="1" applyAlignment="1" applyProtection="1">
      <alignment horizontal="center" vertical="center"/>
    </xf>
    <xf numFmtId="0" fontId="17" fillId="0" borderId="59" xfId="0" applyFont="1" applyBorder="1" applyAlignment="1" applyProtection="1">
      <alignment horizontal="center" vertical="center"/>
    </xf>
    <xf numFmtId="0" fontId="17" fillId="31" borderId="1" xfId="0" applyFont="1" applyFill="1" applyBorder="1" applyAlignment="1" applyProtection="1">
      <alignment horizontal="center" vertical="center"/>
    </xf>
    <xf numFmtId="0" fontId="17" fillId="31" borderId="9" xfId="0" applyFont="1" applyFill="1" applyBorder="1" applyAlignment="1" applyProtection="1">
      <alignment horizontal="center" vertical="center"/>
    </xf>
    <xf numFmtId="0" fontId="50" fillId="19" borderId="174" xfId="0" applyFont="1" applyFill="1" applyBorder="1" applyAlignment="1" applyProtection="1">
      <alignment horizontal="center" vertical="center"/>
    </xf>
    <xf numFmtId="0" fontId="50" fillId="19" borderId="35" xfId="0" applyFont="1" applyFill="1" applyBorder="1" applyAlignment="1" applyProtection="1">
      <alignment horizontal="center" vertical="center"/>
    </xf>
    <xf numFmtId="0" fontId="50" fillId="19" borderId="175" xfId="0" applyFont="1" applyFill="1" applyBorder="1" applyAlignment="1" applyProtection="1">
      <alignment horizontal="center" vertical="center"/>
    </xf>
    <xf numFmtId="0" fontId="38" fillId="0" borderId="1" xfId="0" applyFont="1" applyBorder="1" applyAlignment="1" applyProtection="1">
      <alignment horizontal="center" vertical="center"/>
    </xf>
    <xf numFmtId="0" fontId="38" fillId="0" borderId="9" xfId="0" applyFont="1" applyBorder="1" applyAlignment="1" applyProtection="1">
      <alignment horizontal="center" vertical="center"/>
    </xf>
    <xf numFmtId="0" fontId="17" fillId="0" borderId="76" xfId="0" applyFont="1" applyBorder="1" applyAlignment="1" applyProtection="1">
      <alignment horizontal="center" vertical="center"/>
    </xf>
    <xf numFmtId="0" fontId="17" fillId="0" borderId="0" xfId="0" applyFont="1" applyBorder="1" applyAlignment="1" applyProtection="1">
      <alignment horizontal="center" vertical="center"/>
    </xf>
    <xf numFmtId="0" fontId="50" fillId="0" borderId="103" xfId="0" applyFont="1" applyBorder="1" applyAlignment="1" applyProtection="1">
      <alignment horizontal="center" vertical="center"/>
    </xf>
    <xf numFmtId="0" fontId="50" fillId="0" borderId="45" xfId="0" applyFont="1" applyBorder="1" applyAlignment="1" applyProtection="1">
      <alignment horizontal="center" vertical="center"/>
    </xf>
    <xf numFmtId="0" fontId="20" fillId="0" borderId="120" xfId="0" applyFont="1" applyBorder="1" applyAlignment="1" applyProtection="1">
      <alignment horizontal="center" vertical="center"/>
    </xf>
    <xf numFmtId="0" fontId="20" fillId="0" borderId="41" xfId="0" applyFont="1" applyBorder="1" applyAlignment="1" applyProtection="1">
      <alignment horizontal="center" vertical="center"/>
    </xf>
    <xf numFmtId="0" fontId="20" fillId="0" borderId="104" xfId="0" applyFont="1" applyBorder="1" applyAlignment="1" applyProtection="1">
      <alignment horizontal="center" vertical="center"/>
    </xf>
    <xf numFmtId="0" fontId="20" fillId="0" borderId="107" xfId="0" applyFont="1" applyBorder="1" applyAlignment="1" applyProtection="1">
      <alignment horizontal="center" vertical="center"/>
    </xf>
    <xf numFmtId="0" fontId="17" fillId="0" borderId="76" xfId="0" applyFont="1" applyBorder="1" applyAlignment="1">
      <alignment vertical="center" wrapText="1"/>
    </xf>
    <xf numFmtId="0" fontId="17" fillId="0" borderId="0" xfId="0" applyFont="1" applyAlignment="1">
      <alignment vertical="center" wrapText="1"/>
    </xf>
    <xf numFmtId="0" fontId="53" fillId="31" borderId="1" xfId="0" applyFont="1" applyFill="1" applyBorder="1" applyAlignment="1" applyProtection="1">
      <alignment horizontal="center" vertical="center"/>
    </xf>
    <xf numFmtId="0" fontId="53" fillId="31" borderId="9" xfId="0" applyFont="1" applyFill="1" applyBorder="1" applyAlignment="1" applyProtection="1">
      <alignment horizontal="center" vertical="center"/>
    </xf>
    <xf numFmtId="0" fontId="50" fillId="0" borderId="106" xfId="0" applyFont="1" applyBorder="1" applyAlignment="1" applyProtection="1">
      <alignment horizontal="center" vertical="center"/>
    </xf>
    <xf numFmtId="0" fontId="50" fillId="0" borderId="48" xfId="0" applyFont="1" applyBorder="1" applyAlignment="1" applyProtection="1">
      <alignment horizontal="center" vertical="center"/>
    </xf>
    <xf numFmtId="0" fontId="41" fillId="24" borderId="1" xfId="0" applyFont="1" applyFill="1" applyBorder="1" applyAlignment="1" applyProtection="1">
      <alignment horizontal="center" vertical="center"/>
    </xf>
    <xf numFmtId="0" fontId="53" fillId="24" borderId="9" xfId="0" applyFont="1" applyFill="1" applyBorder="1" applyAlignment="1" applyProtection="1">
      <alignment horizontal="center" vertical="center"/>
    </xf>
    <xf numFmtId="0" fontId="20" fillId="0" borderId="109" xfId="0" applyFont="1" applyBorder="1" applyAlignment="1" applyProtection="1">
      <alignment horizontal="center" vertical="center"/>
    </xf>
    <xf numFmtId="0" fontId="20" fillId="0" borderId="110" xfId="0" applyFont="1" applyBorder="1" applyAlignment="1" applyProtection="1">
      <alignment horizontal="center" vertical="center"/>
    </xf>
    <xf numFmtId="0" fontId="38" fillId="29" borderId="1" xfId="0" applyFont="1" applyFill="1" applyBorder="1" applyAlignment="1" applyProtection="1">
      <alignment horizontal="center" vertical="center"/>
    </xf>
    <xf numFmtId="0" fontId="38" fillId="29" borderId="9" xfId="0" applyFont="1" applyFill="1" applyBorder="1" applyAlignment="1" applyProtection="1">
      <alignment horizontal="center" vertical="center"/>
    </xf>
    <xf numFmtId="0" fontId="38" fillId="29" borderId="96" xfId="0" applyFont="1" applyFill="1" applyBorder="1" applyAlignment="1" applyProtection="1">
      <alignment horizontal="center" vertical="center"/>
    </xf>
    <xf numFmtId="0" fontId="38" fillId="29" borderId="97" xfId="0" applyFont="1" applyFill="1" applyBorder="1" applyAlignment="1" applyProtection="1">
      <alignment horizontal="center" vertical="center"/>
    </xf>
    <xf numFmtId="0" fontId="50" fillId="30" borderId="174" xfId="0" applyFont="1" applyFill="1" applyBorder="1" applyAlignment="1" applyProtection="1">
      <alignment horizontal="center" vertical="center"/>
    </xf>
    <xf numFmtId="0" fontId="50" fillId="30" borderId="35" xfId="0" applyFont="1" applyFill="1" applyBorder="1" applyAlignment="1" applyProtection="1">
      <alignment horizontal="center" vertical="center"/>
    </xf>
    <xf numFmtId="0" fontId="50" fillId="30" borderId="175" xfId="0" applyFont="1" applyFill="1" applyBorder="1" applyAlignment="1" applyProtection="1">
      <alignment horizontal="center" vertical="center"/>
    </xf>
    <xf numFmtId="0" fontId="46" fillId="0" borderId="0" xfId="0" applyFont="1" applyBorder="1" applyAlignment="1" applyProtection="1">
      <alignment horizontal="left" vertical="center" wrapText="1"/>
    </xf>
    <xf numFmtId="0" fontId="46" fillId="0" borderId="74" xfId="0" applyFont="1" applyBorder="1" applyAlignment="1" applyProtection="1">
      <alignment horizontal="left" vertical="center" wrapText="1"/>
    </xf>
    <xf numFmtId="0" fontId="48" fillId="0" borderId="88" xfId="0" applyFont="1" applyBorder="1" applyAlignment="1" applyProtection="1">
      <alignment horizontal="center" vertical="center"/>
    </xf>
    <xf numFmtId="0" fontId="48" fillId="0" borderId="89" xfId="0" applyFont="1" applyBorder="1" applyAlignment="1" applyProtection="1">
      <alignment horizontal="center" vertical="center"/>
    </xf>
    <xf numFmtId="0" fontId="48" fillId="0" borderId="90" xfId="0" applyFont="1" applyBorder="1" applyAlignment="1" applyProtection="1">
      <alignment horizontal="center" vertical="center"/>
    </xf>
    <xf numFmtId="0" fontId="47" fillId="0" borderId="87" xfId="0" applyFont="1" applyBorder="1" applyAlignment="1" applyProtection="1">
      <alignment horizontal="center" vertical="center"/>
    </xf>
    <xf numFmtId="0" fontId="47" fillId="0" borderId="89" xfId="0" applyFont="1" applyBorder="1" applyAlignment="1" applyProtection="1">
      <alignment horizontal="center" vertical="center"/>
    </xf>
    <xf numFmtId="0" fontId="47" fillId="0" borderId="90" xfId="0" applyFont="1" applyBorder="1" applyAlignment="1" applyProtection="1">
      <alignment horizontal="center" vertical="center"/>
    </xf>
    <xf numFmtId="0" fontId="38" fillId="29" borderId="92" xfId="0" applyFont="1" applyFill="1" applyBorder="1" applyAlignment="1" applyProtection="1">
      <alignment horizontal="center" vertical="center"/>
    </xf>
    <xf numFmtId="0" fontId="38" fillId="29" borderId="93" xfId="0" applyFont="1" applyFill="1" applyBorder="1" applyAlignment="1" applyProtection="1">
      <alignment horizontal="center" vertical="center"/>
    </xf>
    <xf numFmtId="0" fontId="51" fillId="23" borderId="99" xfId="0" applyFont="1" applyFill="1" applyBorder="1" applyAlignment="1" applyProtection="1">
      <alignment horizontal="center" vertical="center"/>
    </xf>
    <xf numFmtId="0" fontId="51" fillId="23" borderId="62" xfId="0" applyFont="1" applyFill="1" applyBorder="1" applyAlignment="1" applyProtection="1">
      <alignment horizontal="center" vertical="center"/>
    </xf>
    <xf numFmtId="0" fontId="51" fillId="23" borderId="100" xfId="0" applyFont="1" applyFill="1" applyBorder="1" applyAlignment="1" applyProtection="1">
      <alignment horizontal="center" vertical="center"/>
    </xf>
    <xf numFmtId="0" fontId="13" fillId="26" borderId="0" xfId="0" applyFont="1" applyFill="1" applyBorder="1" applyAlignment="1">
      <alignment horizontal="center" wrapText="1"/>
    </xf>
    <xf numFmtId="0" fontId="13" fillId="25" borderId="70" xfId="0" applyFont="1" applyFill="1" applyBorder="1" applyAlignment="1">
      <alignment horizontal="center" wrapText="1"/>
    </xf>
    <xf numFmtId="0" fontId="13" fillId="25" borderId="71" xfId="0" applyFont="1" applyFill="1" applyBorder="1" applyAlignment="1">
      <alignment horizontal="center" wrapText="1"/>
    </xf>
    <xf numFmtId="0" fontId="13" fillId="25" borderId="72" xfId="0" applyFont="1" applyFill="1" applyBorder="1" applyAlignment="1">
      <alignment horizontal="center" wrapText="1"/>
    </xf>
    <xf numFmtId="0" fontId="13" fillId="25" borderId="0" xfId="0" applyFont="1" applyFill="1" applyBorder="1" applyAlignment="1">
      <alignment horizontal="center" wrapText="1"/>
    </xf>
    <xf numFmtId="0" fontId="13" fillId="25" borderId="0" xfId="0" applyFont="1" applyFill="1" applyBorder="1" applyAlignment="1">
      <alignment horizontal="center" vertical="center" wrapText="1"/>
    </xf>
    <xf numFmtId="0" fontId="13" fillId="26" borderId="82" xfId="0" applyFont="1" applyFill="1" applyBorder="1" applyAlignment="1">
      <alignment horizontal="center" wrapText="1"/>
    </xf>
    <xf numFmtId="0" fontId="13" fillId="26" borderId="22" xfId="0" applyFont="1" applyFill="1" applyBorder="1" applyAlignment="1">
      <alignment horizontal="center" wrapText="1"/>
    </xf>
    <xf numFmtId="0" fontId="13" fillId="26" borderId="27" xfId="0" applyFont="1" applyFill="1" applyBorder="1" applyAlignment="1">
      <alignment horizontal="center" wrapText="1"/>
    </xf>
    <xf numFmtId="0" fontId="0" fillId="0" borderId="33" xfId="0" applyBorder="1" applyAlignment="1">
      <alignment vertical="top" wrapText="1"/>
    </xf>
    <xf numFmtId="0" fontId="0" fillId="0" borderId="0" xfId="0" applyBorder="1" applyAlignment="1">
      <alignment vertical="top" wrapText="1"/>
    </xf>
    <xf numFmtId="0" fontId="0" fillId="0" borderId="0" xfId="0" applyBorder="1" applyAlignment="1"/>
    <xf numFmtId="0" fontId="0" fillId="0" borderId="0" xfId="0" applyAlignment="1"/>
    <xf numFmtId="0" fontId="0" fillId="22" borderId="34" xfId="0" applyFill="1" applyBorder="1" applyAlignment="1">
      <alignment horizontal="center"/>
    </xf>
    <xf numFmtId="0" fontId="0" fillId="22" borderId="35" xfId="0" applyFill="1" applyBorder="1" applyAlignment="1">
      <alignment horizontal="center"/>
    </xf>
    <xf numFmtId="0" fontId="0" fillId="23" borderId="0" xfId="0" applyFill="1" applyBorder="1" applyAlignment="1">
      <alignment horizontal="left" vertical="top" wrapText="1"/>
    </xf>
    <xf numFmtId="0" fontId="12" fillId="0" borderId="0" xfId="0" applyFont="1" applyFill="1" applyAlignment="1">
      <alignment vertical="top" wrapText="1"/>
    </xf>
    <xf numFmtId="0" fontId="0" fillId="24" borderId="0" xfId="0" applyFill="1" applyBorder="1" applyAlignment="1">
      <alignment horizontal="center"/>
    </xf>
    <xf numFmtId="0" fontId="0" fillId="0" borderId="0" xfId="0" applyAlignment="1">
      <alignment horizontal="center"/>
    </xf>
    <xf numFmtId="0" fontId="12" fillId="0" borderId="0" xfId="0" applyFont="1" applyAlignment="1">
      <alignment horizontal="center"/>
    </xf>
    <xf numFmtId="0" fontId="66" fillId="0" borderId="71" xfId="0" applyFont="1" applyBorder="1" applyAlignment="1" applyProtection="1">
      <alignment horizontal="left" vertical="center"/>
    </xf>
    <xf numFmtId="0" fontId="63" fillId="0" borderId="0" xfId="0" applyFont="1" applyAlignment="1" applyProtection="1">
      <alignment horizontal="right" vertical="center"/>
    </xf>
    <xf numFmtId="0" fontId="38" fillId="34" borderId="125" xfId="0" applyFont="1" applyFill="1" applyBorder="1" applyAlignment="1" applyProtection="1">
      <alignment horizontal="center" vertical="center"/>
    </xf>
    <xf numFmtId="0" fontId="38" fillId="34" borderId="115" xfId="0" applyFont="1" applyFill="1" applyBorder="1" applyAlignment="1" applyProtection="1">
      <alignment horizontal="center" vertical="center"/>
    </xf>
    <xf numFmtId="0" fontId="56" fillId="0" borderId="103" xfId="0" applyFont="1" applyBorder="1" applyAlignment="1" applyProtection="1">
      <alignment horizontal="center" vertical="center"/>
    </xf>
    <xf numFmtId="0" fontId="56" fillId="0" borderId="45" xfId="0" applyFont="1" applyBorder="1" applyAlignment="1" applyProtection="1">
      <alignment horizontal="center" vertical="center"/>
    </xf>
    <xf numFmtId="0" fontId="56" fillId="0" borderId="126" xfId="0" applyFont="1" applyBorder="1" applyAlignment="1" applyProtection="1">
      <alignment horizontal="center" vertical="center"/>
    </xf>
    <xf numFmtId="0" fontId="56" fillId="0" borderId="127" xfId="0" applyFont="1" applyBorder="1" applyAlignment="1" applyProtection="1">
      <alignment horizontal="center" vertical="center"/>
    </xf>
    <xf numFmtId="0" fontId="17" fillId="32" borderId="82" xfId="0" applyFont="1" applyFill="1" applyBorder="1" applyAlignment="1" applyProtection="1">
      <alignment horizontal="center" vertical="center"/>
    </xf>
    <xf numFmtId="0" fontId="17" fillId="32" borderId="22" xfId="0" applyFont="1" applyFill="1" applyBorder="1" applyAlignment="1" applyProtection="1">
      <alignment horizontal="center" vertical="center"/>
    </xf>
    <xf numFmtId="0" fontId="17" fillId="32" borderId="117" xfId="0" applyFont="1" applyFill="1" applyBorder="1" applyAlignment="1" applyProtection="1">
      <alignment horizontal="center" vertical="center"/>
    </xf>
    <xf numFmtId="0" fontId="17" fillId="32" borderId="118" xfId="0" applyFont="1" applyFill="1" applyBorder="1" applyAlignment="1" applyProtection="1">
      <alignment horizontal="center" vertical="center"/>
    </xf>
    <xf numFmtId="0" fontId="17" fillId="32" borderId="29" xfId="0" applyFont="1" applyFill="1" applyBorder="1" applyAlignment="1" applyProtection="1">
      <alignment horizontal="center" vertical="center"/>
    </xf>
    <xf numFmtId="0" fontId="17" fillId="32" borderId="119" xfId="0" applyFont="1" applyFill="1" applyBorder="1" applyAlignment="1" applyProtection="1">
      <alignment horizontal="center" vertical="center"/>
    </xf>
    <xf numFmtId="0" fontId="50" fillId="0" borderId="122" xfId="0" applyFont="1" applyBorder="1" applyAlignment="1" applyProtection="1">
      <alignment horizontal="center" vertical="center"/>
    </xf>
    <xf numFmtId="0" fontId="50" fillId="0" borderId="123" xfId="0" applyFont="1" applyBorder="1" applyAlignment="1" applyProtection="1">
      <alignment horizontal="center" vertical="center"/>
    </xf>
    <xf numFmtId="0" fontId="58" fillId="0" borderId="104" xfId="0" applyFont="1" applyBorder="1" applyAlignment="1" applyProtection="1">
      <alignment horizontal="center" vertical="center" wrapText="1"/>
    </xf>
    <xf numFmtId="0" fontId="58" fillId="0" borderId="107" xfId="0" applyFont="1" applyBorder="1" applyAlignment="1" applyProtection="1">
      <alignment horizontal="center" vertical="center" wrapText="1"/>
    </xf>
    <xf numFmtId="0" fontId="56" fillId="0" borderId="106" xfId="0" applyFont="1" applyBorder="1" applyAlignment="1" applyProtection="1">
      <alignment horizontal="center" vertical="center"/>
    </xf>
    <xf numFmtId="0" fontId="56" fillId="0" borderId="48" xfId="0" applyFont="1" applyBorder="1" applyAlignment="1" applyProtection="1">
      <alignment horizontal="center" vertical="center"/>
    </xf>
    <xf numFmtId="0" fontId="58" fillId="0" borderId="104" xfId="0" applyFont="1" applyBorder="1" applyAlignment="1" applyProtection="1">
      <alignment horizontal="center" vertical="center"/>
    </xf>
    <xf numFmtId="0" fontId="58" fillId="0" borderId="113" xfId="0" applyFont="1" applyBorder="1" applyAlignment="1" applyProtection="1">
      <alignment horizontal="center" vertical="center"/>
    </xf>
    <xf numFmtId="0" fontId="56" fillId="0" borderId="112" xfId="0" applyFont="1" applyBorder="1" applyAlignment="1" applyProtection="1">
      <alignment horizontal="center" vertical="center"/>
    </xf>
    <xf numFmtId="0" fontId="56" fillId="0" borderId="59" xfId="0" applyFont="1" applyBorder="1" applyAlignment="1" applyProtection="1">
      <alignment horizontal="center" vertical="center"/>
    </xf>
    <xf numFmtId="0" fontId="38" fillId="0" borderId="1" xfId="0" applyFont="1" applyFill="1" applyBorder="1" applyAlignment="1" applyProtection="1">
      <alignment horizontal="center" vertical="center"/>
    </xf>
    <xf numFmtId="0" fontId="38" fillId="0" borderId="9" xfId="0" applyFont="1" applyFill="1" applyBorder="1" applyAlignment="1" applyProtection="1">
      <alignment horizontal="center" vertical="center"/>
    </xf>
    <xf numFmtId="0" fontId="58" fillId="0" borderId="107" xfId="0" applyFont="1" applyBorder="1" applyAlignment="1" applyProtection="1">
      <alignment horizontal="center" vertical="center"/>
    </xf>
    <xf numFmtId="0" fontId="20" fillId="0" borderId="101" xfId="0" applyFont="1" applyBorder="1" applyAlignment="1" applyProtection="1">
      <alignment horizontal="center" vertical="center"/>
    </xf>
    <xf numFmtId="0" fontId="20" fillId="0" borderId="26" xfId="0" applyFont="1" applyBorder="1" applyAlignment="1" applyProtection="1">
      <alignment horizontal="center" vertical="center"/>
    </xf>
    <xf numFmtId="0" fontId="50" fillId="30" borderId="76" xfId="0" applyFont="1" applyFill="1" applyBorder="1" applyAlignment="1" applyProtection="1">
      <alignment horizontal="center" vertical="center"/>
    </xf>
    <xf numFmtId="0" fontId="50" fillId="30" borderId="0" xfId="0" applyFont="1" applyFill="1" applyBorder="1" applyAlignment="1" applyProtection="1">
      <alignment horizontal="center" vertical="center"/>
    </xf>
    <xf numFmtId="0" fontId="50" fillId="30" borderId="78" xfId="0" applyFont="1" applyFill="1" applyBorder="1" applyAlignment="1" applyProtection="1">
      <alignment horizontal="center" vertical="center"/>
    </xf>
    <xf numFmtId="0" fontId="0" fillId="0" borderId="70" xfId="0" applyBorder="1" applyAlignment="1">
      <alignment vertical="top" wrapText="1"/>
    </xf>
    <xf numFmtId="0" fontId="0" fillId="0" borderId="71" xfId="0" applyBorder="1" applyAlignment="1">
      <alignment vertical="top" wrapText="1"/>
    </xf>
    <xf numFmtId="0" fontId="0" fillId="0" borderId="72" xfId="0" applyBorder="1" applyAlignment="1">
      <alignment vertical="top" wrapText="1"/>
    </xf>
    <xf numFmtId="0" fontId="0" fillId="0" borderId="76" xfId="0" applyBorder="1" applyAlignment="1">
      <alignment vertical="top" wrapText="1"/>
    </xf>
    <xf numFmtId="0" fontId="0" fillId="0" borderId="78" xfId="0" applyBorder="1" applyAlignment="1">
      <alignment vertical="top" wrapText="1"/>
    </xf>
    <xf numFmtId="0" fontId="0" fillId="0" borderId="73" xfId="0" applyBorder="1" applyAlignment="1">
      <alignment vertical="top" wrapText="1"/>
    </xf>
    <xf numFmtId="0" fontId="0" fillId="0" borderId="74" xfId="0" applyBorder="1" applyAlignment="1">
      <alignment vertical="top" wrapText="1"/>
    </xf>
    <xf numFmtId="0" fontId="0" fillId="0" borderId="75" xfId="0" applyBorder="1" applyAlignment="1">
      <alignment vertical="top" wrapText="1"/>
    </xf>
    <xf numFmtId="0" fontId="0" fillId="23" borderId="71" xfId="0" applyFill="1" applyBorder="1" applyAlignment="1">
      <alignment horizontal="left" vertical="top" wrapText="1"/>
    </xf>
    <xf numFmtId="0" fontId="32" fillId="37" borderId="0" xfId="0" applyFont="1" applyFill="1" applyAlignment="1">
      <alignment horizontal="center" vertical="center" wrapText="1"/>
    </xf>
    <xf numFmtId="0" fontId="17" fillId="5" borderId="54" xfId="0" applyFont="1" applyFill="1" applyBorder="1" applyAlignment="1">
      <alignment horizontal="center"/>
    </xf>
    <xf numFmtId="0" fontId="17" fillId="5" borderId="6" xfId="0" applyFont="1" applyFill="1" applyBorder="1" applyAlignment="1">
      <alignment horizontal="center"/>
    </xf>
    <xf numFmtId="0" fontId="17" fillId="5" borderId="55" xfId="0" applyFont="1" applyFill="1" applyBorder="1" applyAlignment="1">
      <alignment horizontal="center"/>
    </xf>
    <xf numFmtId="0" fontId="17" fillId="5" borderId="1" xfId="0" applyFont="1" applyFill="1" applyBorder="1" applyAlignment="1">
      <alignment horizontal="center"/>
    </xf>
    <xf numFmtId="0" fontId="17" fillId="5" borderId="9" xfId="0" applyFont="1" applyFill="1" applyBorder="1" applyAlignment="1">
      <alignment horizontal="center"/>
    </xf>
    <xf numFmtId="164" fontId="17" fillId="7" borderId="54" xfId="0" applyNumberFormat="1" applyFont="1" applyFill="1" applyBorder="1" applyAlignment="1">
      <alignment horizontal="center"/>
    </xf>
    <xf numFmtId="164" fontId="17" fillId="7" borderId="6" xfId="0" applyNumberFormat="1" applyFont="1" applyFill="1" applyBorder="1" applyAlignment="1">
      <alignment horizontal="center"/>
    </xf>
    <xf numFmtId="164" fontId="17" fillId="7" borderId="55" xfId="0" applyNumberFormat="1" applyFont="1" applyFill="1" applyBorder="1" applyAlignment="1">
      <alignment horizontal="center"/>
    </xf>
    <xf numFmtId="164" fontId="0" fillId="12" borderId="54" xfId="0" applyNumberFormat="1" applyFill="1" applyBorder="1" applyAlignment="1">
      <alignment horizontal="center"/>
    </xf>
    <xf numFmtId="164" fontId="0" fillId="12" borderId="6" xfId="0" applyNumberFormat="1" applyFill="1" applyBorder="1" applyAlignment="1">
      <alignment horizontal="center"/>
    </xf>
    <xf numFmtId="164" fontId="0" fillId="12" borderId="55" xfId="0" applyNumberFormat="1" applyFill="1" applyBorder="1" applyAlignment="1">
      <alignment horizontal="center"/>
    </xf>
    <xf numFmtId="0" fontId="30" fillId="0" borderId="0" xfId="0" applyFont="1" applyAlignment="1">
      <alignment horizontal="right"/>
    </xf>
    <xf numFmtId="0" fontId="17" fillId="0" borderId="6" xfId="0" applyFont="1" applyBorder="1" applyAlignment="1">
      <alignment horizontal="center"/>
    </xf>
    <xf numFmtId="0" fontId="17" fillId="0" borderId="55" xfId="0" applyFont="1" applyBorder="1" applyAlignment="1">
      <alignment horizontal="center"/>
    </xf>
    <xf numFmtId="0" fontId="20" fillId="3" borderId="2" xfId="0" applyFont="1" applyFill="1" applyBorder="1" applyAlignment="1">
      <alignment horizontal="center"/>
    </xf>
    <xf numFmtId="0" fontId="20" fillId="3" borderId="3" xfId="0" applyFont="1" applyFill="1" applyBorder="1" applyAlignment="1">
      <alignment horizontal="center"/>
    </xf>
    <xf numFmtId="0" fontId="17" fillId="4" borderId="54" xfId="0" applyFont="1" applyFill="1" applyBorder="1" applyAlignment="1">
      <alignment horizontal="center"/>
    </xf>
    <xf numFmtId="0" fontId="17" fillId="4" borderId="6" xfId="0" applyFont="1" applyFill="1" applyBorder="1" applyAlignment="1">
      <alignment horizontal="center"/>
    </xf>
    <xf numFmtId="0" fontId="17" fillId="4" borderId="55" xfId="0" applyFont="1" applyFill="1" applyBorder="1" applyAlignment="1">
      <alignment horizontal="center"/>
    </xf>
    <xf numFmtId="164" fontId="0" fillId="12" borderId="170" xfId="0" applyNumberFormat="1" applyFill="1" applyBorder="1" applyAlignment="1">
      <alignment horizontal="center"/>
    </xf>
    <xf numFmtId="164" fontId="0" fillId="12" borderId="5" xfId="0" applyNumberFormat="1" applyFill="1" applyBorder="1" applyAlignment="1">
      <alignment horizontal="center"/>
    </xf>
    <xf numFmtId="164" fontId="0" fillId="12" borderId="171" xfId="0" applyNumberFormat="1" applyFill="1" applyBorder="1" applyAlignment="1">
      <alignment horizontal="center"/>
    </xf>
    <xf numFmtId="164" fontId="0" fillId="11" borderId="54" xfId="0" applyNumberFormat="1" applyFill="1" applyBorder="1" applyAlignment="1">
      <alignment horizontal="center"/>
    </xf>
    <xf numFmtId="164" fontId="0" fillId="11" borderId="6" xfId="0" applyNumberFormat="1" applyFill="1" applyBorder="1" applyAlignment="1">
      <alignment horizontal="center"/>
    </xf>
    <xf numFmtId="164" fontId="0" fillId="11" borderId="55" xfId="0" applyNumberFormat="1" applyFill="1" applyBorder="1" applyAlignment="1">
      <alignment horizontal="center"/>
    </xf>
    <xf numFmtId="164" fontId="17" fillId="3" borderId="54" xfId="0" applyNumberFormat="1" applyFont="1" applyFill="1" applyBorder="1" applyAlignment="1">
      <alignment horizontal="center"/>
    </xf>
    <xf numFmtId="164" fontId="17" fillId="3" borderId="6" xfId="0" applyNumberFormat="1" applyFont="1" applyFill="1" applyBorder="1" applyAlignment="1">
      <alignment horizontal="center"/>
    </xf>
    <xf numFmtId="164" fontId="17" fillId="3" borderId="55" xfId="0" applyNumberFormat="1" applyFont="1" applyFill="1" applyBorder="1" applyAlignment="1">
      <alignment horizontal="center"/>
    </xf>
    <xf numFmtId="0" fontId="17" fillId="6" borderId="1" xfId="0" applyFont="1" applyFill="1" applyBorder="1" applyAlignment="1">
      <alignment horizontal="center"/>
    </xf>
    <xf numFmtId="0" fontId="17" fillId="6" borderId="6" xfId="0" applyFont="1" applyFill="1" applyBorder="1" applyAlignment="1">
      <alignment horizontal="center"/>
    </xf>
    <xf numFmtId="0" fontId="17" fillId="6" borderId="9" xfId="0" applyFont="1" applyFill="1" applyBorder="1" applyAlignment="1">
      <alignment horizontal="center"/>
    </xf>
    <xf numFmtId="0" fontId="20" fillId="0" borderId="0" xfId="0" applyFont="1" applyFill="1" applyBorder="1" applyAlignment="1">
      <alignment horizontal="center"/>
    </xf>
    <xf numFmtId="0" fontId="17" fillId="6" borderId="10" xfId="0" applyFont="1" applyFill="1" applyBorder="1" applyAlignment="1">
      <alignment horizontal="center"/>
    </xf>
    <xf numFmtId="0" fontId="17" fillId="0" borderId="11" xfId="0" applyFont="1" applyBorder="1" applyAlignment="1">
      <alignment horizontal="center"/>
    </xf>
    <xf numFmtId="0" fontId="17" fillId="0" borderId="12" xfId="0" applyFont="1" applyBorder="1" applyAlignment="1">
      <alignment horizontal="center"/>
    </xf>
    <xf numFmtId="164" fontId="17" fillId="13" borderId="54" xfId="0" applyNumberFormat="1" applyFont="1" applyFill="1" applyBorder="1" applyAlignment="1">
      <alignment horizontal="center"/>
    </xf>
    <xf numFmtId="164" fontId="17" fillId="13" borderId="6" xfId="0" applyNumberFormat="1" applyFont="1" applyFill="1" applyBorder="1" applyAlignment="1">
      <alignment horizontal="center"/>
    </xf>
    <xf numFmtId="164" fontId="17" fillId="13" borderId="55" xfId="0" applyNumberFormat="1" applyFont="1" applyFill="1" applyBorder="1" applyAlignment="1">
      <alignment horizontal="center"/>
    </xf>
    <xf numFmtId="164" fontId="17" fillId="11" borderId="54" xfId="0" applyNumberFormat="1" applyFont="1" applyFill="1" applyBorder="1" applyAlignment="1">
      <alignment horizontal="center"/>
    </xf>
    <xf numFmtId="164" fontId="17" fillId="11" borderId="6" xfId="0" applyNumberFormat="1" applyFont="1" applyFill="1" applyBorder="1" applyAlignment="1">
      <alignment horizontal="center"/>
    </xf>
    <xf numFmtId="164" fontId="17" fillId="11" borderId="55" xfId="0" applyNumberFormat="1" applyFont="1" applyFill="1" applyBorder="1" applyAlignment="1">
      <alignment horizontal="center"/>
    </xf>
    <xf numFmtId="164" fontId="17" fillId="4" borderId="54" xfId="0" applyNumberFormat="1" applyFont="1" applyFill="1" applyBorder="1" applyAlignment="1">
      <alignment horizontal="center"/>
    </xf>
    <xf numFmtId="164" fontId="17" fillId="4" borderId="6" xfId="0" applyNumberFormat="1" applyFont="1" applyFill="1" applyBorder="1" applyAlignment="1">
      <alignment horizontal="center"/>
    </xf>
    <xf numFmtId="164" fontId="17" fillId="4" borderId="55" xfId="0" applyNumberFormat="1" applyFont="1" applyFill="1" applyBorder="1" applyAlignment="1">
      <alignment horizontal="center"/>
    </xf>
    <xf numFmtId="0" fontId="0" fillId="4" borderId="54" xfId="0" applyFill="1" applyBorder="1" applyAlignment="1">
      <alignment horizontal="center"/>
    </xf>
    <xf numFmtId="0" fontId="0" fillId="4" borderId="6" xfId="0" applyFill="1" applyBorder="1" applyAlignment="1">
      <alignment horizontal="center"/>
    </xf>
    <xf numFmtId="0" fontId="0" fillId="4" borderId="55" xfId="0" applyFill="1" applyBorder="1" applyAlignment="1">
      <alignment horizontal="center"/>
    </xf>
    <xf numFmtId="164" fontId="0" fillId="13" borderId="54" xfId="0" applyNumberFormat="1" applyFill="1" applyBorder="1" applyAlignment="1">
      <alignment horizontal="center"/>
    </xf>
    <xf numFmtId="164" fontId="0" fillId="13" borderId="6" xfId="0" applyNumberFormat="1" applyFill="1" applyBorder="1" applyAlignment="1">
      <alignment horizontal="center"/>
    </xf>
    <xf numFmtId="164" fontId="0" fillId="13" borderId="55" xfId="0" applyNumberFormat="1" applyFill="1" applyBorder="1" applyAlignment="1">
      <alignment horizontal="center"/>
    </xf>
    <xf numFmtId="164" fontId="17" fillId="12" borderId="54" xfId="0" applyNumberFormat="1" applyFont="1" applyFill="1" applyBorder="1" applyAlignment="1">
      <alignment horizontal="center"/>
    </xf>
    <xf numFmtId="164" fontId="17" fillId="5" borderId="54" xfId="0" applyNumberFormat="1" applyFont="1" applyFill="1" applyBorder="1" applyAlignment="1">
      <alignment horizontal="center"/>
    </xf>
    <xf numFmtId="164" fontId="17" fillId="5" borderId="6" xfId="0" applyNumberFormat="1" applyFont="1" applyFill="1" applyBorder="1" applyAlignment="1">
      <alignment horizontal="center"/>
    </xf>
    <xf numFmtId="164" fontId="17" fillId="5" borderId="55" xfId="0" applyNumberFormat="1" applyFont="1" applyFill="1" applyBorder="1" applyAlignment="1">
      <alignment horizontal="center"/>
    </xf>
    <xf numFmtId="164" fontId="17" fillId="6" borderId="54" xfId="0" applyNumberFormat="1" applyFont="1" applyFill="1" applyBorder="1" applyAlignment="1">
      <alignment horizontal="center"/>
    </xf>
    <xf numFmtId="164" fontId="17" fillId="6" borderId="6" xfId="0" applyNumberFormat="1" applyFont="1" applyFill="1" applyBorder="1" applyAlignment="1">
      <alignment horizontal="center"/>
    </xf>
    <xf numFmtId="164" fontId="17" fillId="6" borderId="55" xfId="0" applyNumberFormat="1" applyFont="1" applyFill="1" applyBorder="1" applyAlignment="1">
      <alignment horizontal="center"/>
    </xf>
    <xf numFmtId="164" fontId="17" fillId="12" borderId="6" xfId="0" applyNumberFormat="1" applyFont="1" applyFill="1" applyBorder="1" applyAlignment="1">
      <alignment horizontal="center"/>
    </xf>
    <xf numFmtId="164" fontId="17" fillId="12" borderId="55" xfId="0" applyNumberFormat="1" applyFont="1" applyFill="1" applyBorder="1" applyAlignment="1">
      <alignment horizontal="center"/>
    </xf>
    <xf numFmtId="164" fontId="0" fillId="3" borderId="54" xfId="0" applyNumberFormat="1" applyFill="1" applyBorder="1" applyAlignment="1">
      <alignment horizontal="center"/>
    </xf>
    <xf numFmtId="164" fontId="0" fillId="3" borderId="6" xfId="0" applyNumberFormat="1" applyFill="1" applyBorder="1" applyAlignment="1">
      <alignment horizontal="center"/>
    </xf>
    <xf numFmtId="164" fontId="0" fillId="3" borderId="55" xfId="0" applyNumberFormat="1" applyFill="1" applyBorder="1" applyAlignment="1">
      <alignment horizontal="center"/>
    </xf>
    <xf numFmtId="0" fontId="2" fillId="35" borderId="8" xfId="0" applyFont="1" applyFill="1" applyBorder="1" applyAlignment="1">
      <alignment horizontal="center"/>
    </xf>
    <xf numFmtId="0" fontId="2" fillId="35" borderId="6" xfId="0" applyFont="1" applyFill="1" applyBorder="1" applyAlignment="1">
      <alignment horizontal="center"/>
    </xf>
    <xf numFmtId="0" fontId="2" fillId="35" borderId="7" xfId="0" applyFont="1" applyFill="1" applyBorder="1" applyAlignment="1">
      <alignment horizontal="center"/>
    </xf>
    <xf numFmtId="0" fontId="2" fillId="0" borderId="0" xfId="0" applyFont="1" applyFill="1" applyBorder="1" applyAlignment="1">
      <alignment horizontal="center"/>
    </xf>
    <xf numFmtId="0" fontId="32" fillId="38" borderId="0" xfId="0" applyFont="1" applyFill="1" applyAlignment="1">
      <alignment horizontal="center" vertical="center" wrapText="1"/>
    </xf>
    <xf numFmtId="0" fontId="20" fillId="20" borderId="46" xfId="0" applyFont="1" applyFill="1" applyBorder="1" applyAlignment="1" applyProtection="1">
      <alignment horizontal="center" vertical="center"/>
    </xf>
    <xf numFmtId="0" fontId="20" fillId="20" borderId="53" xfId="0" applyFont="1" applyFill="1" applyBorder="1" applyAlignment="1" applyProtection="1">
      <alignment horizontal="center" vertical="center"/>
    </xf>
    <xf numFmtId="0" fontId="20" fillId="20" borderId="49" xfId="0" applyFont="1" applyFill="1" applyBorder="1" applyAlignment="1" applyProtection="1">
      <alignment horizontal="center" vertical="center"/>
    </xf>
    <xf numFmtId="0" fontId="38" fillId="0" borderId="250" xfId="0" applyFont="1" applyBorder="1" applyAlignment="1" applyProtection="1">
      <alignment horizontal="left" vertical="center"/>
    </xf>
    <xf numFmtId="0" fontId="38" fillId="0" borderId="37" xfId="0" applyFont="1" applyBorder="1" applyAlignment="1" applyProtection="1">
      <alignment horizontal="left" vertical="center"/>
    </xf>
    <xf numFmtId="0" fontId="38" fillId="0" borderId="250" xfId="0" applyFont="1" applyBorder="1" applyAlignment="1" applyProtection="1">
      <alignment horizontal="left" vertical="center" wrapText="1"/>
    </xf>
    <xf numFmtId="0" fontId="38" fillId="0" borderId="37" xfId="0" applyFont="1" applyBorder="1" applyAlignment="1" applyProtection="1">
      <alignment horizontal="left" vertical="center" wrapText="1"/>
    </xf>
    <xf numFmtId="0" fontId="20" fillId="20" borderId="50" xfId="0" applyFont="1" applyFill="1" applyBorder="1" applyAlignment="1" applyProtection="1">
      <alignment horizontal="center" vertical="center"/>
    </xf>
    <xf numFmtId="0" fontId="20" fillId="20" borderId="51" xfId="0" applyFont="1" applyFill="1" applyBorder="1" applyAlignment="1" applyProtection="1">
      <alignment horizontal="center" vertical="center"/>
    </xf>
    <xf numFmtId="0" fontId="38" fillId="13" borderId="40" xfId="0" applyFont="1" applyFill="1" applyBorder="1" applyAlignment="1" applyProtection="1">
      <alignment horizontal="center" vertical="center"/>
    </xf>
    <xf numFmtId="0" fontId="38" fillId="13" borderId="41" xfId="0" applyFont="1" applyFill="1" applyBorder="1" applyAlignment="1" applyProtection="1">
      <alignment horizontal="center" vertical="center"/>
    </xf>
    <xf numFmtId="0" fontId="38" fillId="13" borderId="42" xfId="0" applyFont="1" applyFill="1" applyBorder="1" applyAlignment="1" applyProtection="1">
      <alignment horizontal="center" vertical="center"/>
    </xf>
    <xf numFmtId="0" fontId="38" fillId="18" borderId="35" xfId="0" applyFont="1" applyFill="1" applyBorder="1" applyAlignment="1" applyProtection="1">
      <alignment horizontal="center" vertical="center"/>
    </xf>
    <xf numFmtId="0" fontId="38" fillId="18" borderId="36" xfId="0" applyFont="1" applyFill="1" applyBorder="1" applyAlignment="1" applyProtection="1">
      <alignment horizontal="center" vertical="center"/>
    </xf>
    <xf numFmtId="0" fontId="40" fillId="0" borderId="248" xfId="0" applyFont="1" applyBorder="1" applyAlignment="1" applyProtection="1">
      <alignment horizontal="left" vertical="center"/>
    </xf>
    <xf numFmtId="0" fontId="40" fillId="0" borderId="37" xfId="0" applyFont="1" applyBorder="1" applyAlignment="1" applyProtection="1">
      <alignment horizontal="left" vertical="center"/>
    </xf>
    <xf numFmtId="0" fontId="38" fillId="0" borderId="248" xfId="0" applyFont="1" applyBorder="1" applyAlignment="1" applyProtection="1">
      <alignment horizontal="left" vertical="center" wrapText="1"/>
    </xf>
    <xf numFmtId="0" fontId="38" fillId="0" borderId="33" xfId="0" applyFont="1" applyBorder="1" applyAlignment="1" applyProtection="1">
      <alignment horizontal="left" vertical="center"/>
    </xf>
    <xf numFmtId="0" fontId="76" fillId="45" borderId="34" xfId="2" applyFont="1" applyFill="1" applyBorder="1" applyAlignment="1" applyProtection="1">
      <alignment horizontal="center" vertical="center" wrapText="1"/>
    </xf>
    <xf numFmtId="0" fontId="76" fillId="45" borderId="35" xfId="2" applyFont="1" applyFill="1" applyBorder="1" applyAlignment="1" applyProtection="1">
      <alignment horizontal="center" vertical="center"/>
    </xf>
    <xf numFmtId="0" fontId="76" fillId="45" borderId="36" xfId="2" applyFont="1" applyFill="1" applyBorder="1" applyAlignment="1" applyProtection="1">
      <alignment horizontal="center" vertical="center"/>
    </xf>
    <xf numFmtId="0" fontId="38" fillId="16" borderId="28" xfId="0" applyFont="1" applyFill="1" applyBorder="1" applyAlignment="1" applyProtection="1">
      <alignment horizontal="center" vertical="center" wrapText="1"/>
    </xf>
    <xf numFmtId="0" fontId="38" fillId="16" borderId="29" xfId="0" applyFont="1" applyFill="1" applyBorder="1" applyAlignment="1" applyProtection="1">
      <alignment horizontal="center" vertical="center" wrapText="1"/>
    </xf>
    <xf numFmtId="0" fontId="38" fillId="16" borderId="30" xfId="0" applyFont="1" applyFill="1" applyBorder="1" applyAlignment="1" applyProtection="1">
      <alignment horizontal="center" vertical="center" wrapText="1"/>
    </xf>
    <xf numFmtId="0" fontId="76" fillId="15" borderId="29" xfId="2" applyFont="1" applyFill="1" applyBorder="1" applyAlignment="1" applyProtection="1">
      <alignment horizontal="center" vertical="center"/>
    </xf>
    <xf numFmtId="0" fontId="15" fillId="0" borderId="0" xfId="2" applyFont="1" applyFill="1" applyBorder="1" applyAlignment="1" applyProtection="1">
      <alignment horizontal="right" vertical="center"/>
      <protection locked="0"/>
    </xf>
    <xf numFmtId="14" fontId="29" fillId="8" borderId="6" xfId="0" applyNumberFormat="1" applyFont="1" applyFill="1" applyBorder="1" applyAlignment="1">
      <alignment horizontal="center" vertical="center"/>
    </xf>
    <xf numFmtId="0" fontId="30" fillId="8" borderId="6" xfId="2" applyFont="1" applyFill="1" applyBorder="1" applyAlignment="1" applyProtection="1">
      <alignment horizontal="right" vertical="center"/>
      <protection locked="0"/>
    </xf>
    <xf numFmtId="0" fontId="34" fillId="5" borderId="21" xfId="0" applyFont="1" applyFill="1" applyBorder="1" applyAlignment="1" applyProtection="1">
      <alignment horizontal="center" vertical="center" wrapText="1"/>
    </xf>
    <xf numFmtId="0" fontId="34" fillId="5" borderId="22" xfId="0" applyFont="1" applyFill="1" applyBorder="1" applyAlignment="1" applyProtection="1">
      <alignment horizontal="center" vertical="center" wrapText="1"/>
    </xf>
    <xf numFmtId="0" fontId="34" fillId="5" borderId="27" xfId="0" applyFont="1" applyFill="1" applyBorder="1" applyAlignment="1" applyProtection="1">
      <alignment horizontal="center" vertical="center" wrapText="1"/>
    </xf>
    <xf numFmtId="0" fontId="34" fillId="5" borderId="28" xfId="0" applyFont="1" applyFill="1" applyBorder="1" applyAlignment="1" applyProtection="1">
      <alignment horizontal="center" vertical="center" wrapText="1"/>
    </xf>
    <xf numFmtId="0" fontId="34" fillId="5" borderId="29" xfId="0" applyFont="1" applyFill="1" applyBorder="1" applyAlignment="1" applyProtection="1">
      <alignment horizontal="center" vertical="center" wrapText="1"/>
    </xf>
    <xf numFmtId="0" fontId="34" fillId="5" borderId="30" xfId="0" applyFont="1" applyFill="1" applyBorder="1" applyAlignment="1" applyProtection="1">
      <alignment horizontal="center" vertical="center" wrapText="1"/>
    </xf>
    <xf numFmtId="0" fontId="35" fillId="14" borderId="31" xfId="0" applyFont="1" applyFill="1" applyBorder="1" applyAlignment="1" applyProtection="1">
      <alignment horizontal="center" vertical="center" wrapText="1"/>
    </xf>
    <xf numFmtId="0" fontId="36" fillId="14" borderId="26" xfId="0" applyFont="1" applyFill="1" applyBorder="1" applyAlignment="1">
      <alignment horizontal="center" vertical="center" wrapText="1"/>
    </xf>
    <xf numFmtId="0" fontId="36" fillId="14" borderId="32" xfId="0" applyFont="1" applyFill="1" applyBorder="1" applyAlignment="1">
      <alignment horizontal="center" vertical="center" wrapText="1"/>
    </xf>
    <xf numFmtId="0" fontId="38" fillId="16" borderId="22" xfId="0" applyFont="1" applyFill="1" applyBorder="1" applyAlignment="1" applyProtection="1">
      <alignment horizontal="center" vertical="center"/>
    </xf>
    <xf numFmtId="0" fontId="38" fillId="16" borderId="36" xfId="0" applyFont="1" applyFill="1" applyBorder="1" applyAlignment="1" applyProtection="1">
      <alignment horizontal="center" vertical="center"/>
    </xf>
    <xf numFmtId="0" fontId="20" fillId="13" borderId="54" xfId="0" applyFont="1" applyFill="1" applyBorder="1" applyAlignment="1" applyProtection="1">
      <alignment horizontal="center" vertical="center"/>
    </xf>
    <xf numFmtId="0" fontId="20" fillId="13" borderId="6" xfId="0" applyFont="1" applyFill="1" applyBorder="1" applyAlignment="1" applyProtection="1">
      <alignment horizontal="center" vertical="center"/>
    </xf>
    <xf numFmtId="0" fontId="20" fillId="13" borderId="55" xfId="0" applyFont="1" applyFill="1" applyBorder="1" applyAlignment="1" applyProtection="1">
      <alignment horizontal="center" vertical="center"/>
    </xf>
    <xf numFmtId="0" fontId="33" fillId="0" borderId="33" xfId="0" applyFont="1" applyBorder="1" applyAlignment="1" applyProtection="1">
      <alignment horizontal="left" vertical="center"/>
    </xf>
    <xf numFmtId="0" fontId="33" fillId="0" borderId="37" xfId="0" applyFont="1" applyBorder="1" applyAlignment="1" applyProtection="1">
      <alignment horizontal="left" vertical="center"/>
    </xf>
    <xf numFmtId="0" fontId="17" fillId="0" borderId="33" xfId="0" applyFont="1" applyBorder="1" applyAlignment="1" applyProtection="1">
      <alignment horizontal="left" vertical="center"/>
    </xf>
    <xf numFmtId="0" fontId="17" fillId="0" borderId="37" xfId="0" applyFont="1" applyBorder="1" applyAlignment="1" applyProtection="1">
      <alignment horizontal="left" vertical="center"/>
    </xf>
    <xf numFmtId="0" fontId="38" fillId="0" borderId="33" xfId="0" applyFont="1" applyBorder="1" applyAlignment="1" applyProtection="1">
      <alignment horizontal="left" vertical="center" wrapText="1"/>
    </xf>
    <xf numFmtId="0" fontId="45" fillId="0" borderId="33" xfId="3" applyFont="1" applyBorder="1" applyAlignment="1">
      <alignment vertical="center" wrapText="1"/>
    </xf>
    <xf numFmtId="0" fontId="38" fillId="18" borderId="6" xfId="0" applyFont="1" applyFill="1" applyBorder="1" applyAlignment="1" applyProtection="1">
      <alignment horizontal="center" vertical="center"/>
    </xf>
    <xf numFmtId="0" fontId="38" fillId="18" borderId="29" xfId="0" applyFont="1" applyFill="1" applyBorder="1" applyAlignment="1" applyProtection="1">
      <alignment horizontal="center" vertical="center"/>
    </xf>
    <xf numFmtId="0" fontId="44" fillId="0" borderId="21" xfId="0" applyFont="1" applyBorder="1" applyAlignment="1" applyProtection="1">
      <alignment horizontal="left" vertical="center" wrapText="1"/>
    </xf>
    <xf numFmtId="0" fontId="44" fillId="0" borderId="22" xfId="0" applyFont="1" applyBorder="1" applyAlignment="1" applyProtection="1">
      <alignment horizontal="left" vertical="center" wrapText="1"/>
    </xf>
    <xf numFmtId="0" fontId="44" fillId="0" borderId="27" xfId="0" applyFont="1" applyBorder="1" applyAlignment="1" applyProtection="1">
      <alignment horizontal="left" vertical="center" wrapText="1"/>
    </xf>
    <xf numFmtId="0" fontId="44" fillId="0" borderId="33" xfId="0" applyFont="1" applyBorder="1" applyAlignment="1" applyProtection="1">
      <alignment horizontal="left" vertical="center" wrapText="1"/>
    </xf>
    <xf numFmtId="0" fontId="44" fillId="0" borderId="0" xfId="0" applyFont="1" applyBorder="1" applyAlignment="1" applyProtection="1">
      <alignment horizontal="left" vertical="center" wrapText="1"/>
    </xf>
    <xf numFmtId="0" fontId="44" fillId="0" borderId="56" xfId="0" applyFont="1" applyBorder="1" applyAlignment="1" applyProtection="1">
      <alignment horizontal="left" vertical="center" wrapText="1"/>
    </xf>
    <xf numFmtId="4" fontId="38" fillId="18" borderId="22" xfId="0" applyNumberFormat="1" applyFont="1" applyFill="1" applyBorder="1" applyAlignment="1" applyProtection="1">
      <alignment horizontal="center" vertical="center" wrapText="1"/>
    </xf>
    <xf numFmtId="4" fontId="38" fillId="18" borderId="29" xfId="0" applyNumberFormat="1" applyFont="1" applyFill="1" applyBorder="1" applyAlignment="1" applyProtection="1">
      <alignment horizontal="center" vertical="center" wrapText="1"/>
    </xf>
    <xf numFmtId="0" fontId="17" fillId="0" borderId="56" xfId="0" applyFont="1" applyBorder="1" applyAlignment="1">
      <alignment horizontal="left" vertical="center" wrapText="1"/>
    </xf>
    <xf numFmtId="0" fontId="38" fillId="18" borderId="21" xfId="0" applyFont="1" applyFill="1" applyBorder="1" applyAlignment="1" applyProtection="1">
      <alignment horizontal="center" vertical="center" wrapText="1"/>
    </xf>
    <xf numFmtId="0" fontId="38" fillId="18" borderId="28" xfId="0" applyFont="1" applyFill="1" applyBorder="1" applyAlignment="1" applyProtection="1">
      <alignment horizontal="center" vertical="center" wrapText="1"/>
    </xf>
    <xf numFmtId="4" fontId="38" fillId="18" borderId="27" xfId="0" applyNumberFormat="1" applyFont="1" applyFill="1" applyBorder="1" applyAlignment="1" applyProtection="1">
      <alignment horizontal="center" vertical="center" wrapText="1"/>
    </xf>
    <xf numFmtId="4" fontId="38" fillId="18" borderId="30" xfId="0" applyNumberFormat="1" applyFont="1" applyFill="1" applyBorder="1" applyAlignment="1" applyProtection="1">
      <alignment horizontal="center" vertical="center" wrapText="1"/>
    </xf>
    <xf numFmtId="0" fontId="38" fillId="21" borderId="34" xfId="0" applyFont="1" applyFill="1" applyBorder="1" applyAlignment="1" applyProtection="1">
      <alignment horizontal="center" vertical="center" wrapText="1"/>
    </xf>
    <xf numFmtId="0" fontId="38" fillId="21" borderId="35" xfId="0" applyFont="1" applyFill="1" applyBorder="1" applyAlignment="1" applyProtection="1">
      <alignment horizontal="center" vertical="center" wrapText="1"/>
    </xf>
    <xf numFmtId="0" fontId="38" fillId="21" borderId="36" xfId="0" applyFont="1" applyFill="1" applyBorder="1" applyAlignment="1" applyProtection="1">
      <alignment horizontal="center" vertical="center" wrapText="1"/>
    </xf>
    <xf numFmtId="0" fontId="17" fillId="0" borderId="28" xfId="0" applyFont="1" applyBorder="1" applyAlignment="1">
      <alignment horizontal="left" vertical="center" wrapText="1"/>
    </xf>
    <xf numFmtId="0" fontId="17" fillId="0" borderId="29" xfId="0" applyFont="1" applyBorder="1" applyAlignment="1">
      <alignment horizontal="left" vertical="center" wrapText="1"/>
    </xf>
    <xf numFmtId="0" fontId="17" fillId="0" borderId="30" xfId="0" applyFont="1" applyBorder="1" applyAlignment="1">
      <alignment horizontal="left" vertical="center" wrapText="1"/>
    </xf>
    <xf numFmtId="0" fontId="26" fillId="0" borderId="29" xfId="0" applyFont="1" applyBorder="1" applyAlignment="1">
      <alignment horizontal="center" vertical="center"/>
    </xf>
    <xf numFmtId="0" fontId="20" fillId="0" borderId="68" xfId="0" applyFont="1" applyBorder="1" applyAlignment="1">
      <alignment horizontal="center" vertical="center"/>
    </xf>
    <xf numFmtId="0" fontId="20" fillId="0" borderId="0" xfId="0" applyFont="1" applyBorder="1" applyAlignment="1">
      <alignment horizontal="center" vertical="center"/>
    </xf>
    <xf numFmtId="0" fontId="20" fillId="0" borderId="37" xfId="0" applyFont="1" applyBorder="1" applyAlignment="1">
      <alignment horizontal="center" vertical="center"/>
    </xf>
  </cellXfs>
  <cellStyles count="8">
    <cellStyle name="Comma 2" xfId="5" xr:uid="{00000000-0005-0000-0000-000000000000}"/>
    <cellStyle name="Hyperlink" xfId="3" builtinId="8"/>
    <cellStyle name="Normal" xfId="0" builtinId="0"/>
    <cellStyle name="Normal 2" xfId="4" xr:uid="{00000000-0005-0000-0000-000003000000}"/>
    <cellStyle name="Normal 3" xfId="6" xr:uid="{00000000-0005-0000-0000-000004000000}"/>
    <cellStyle name="Normal 4" xfId="2" xr:uid="{00000000-0005-0000-0000-000005000000}"/>
    <cellStyle name="Percent" xfId="1" builtinId="5"/>
    <cellStyle name="Percent 2" xfId="7" xr:uid="{00000000-0005-0000-0000-000007000000}"/>
  </cellStyles>
  <dxfs count="41">
    <dxf>
      <font>
        <color theme="0"/>
      </font>
      <fill>
        <patternFill>
          <bgColor theme="0"/>
        </patternFill>
      </fill>
    </dxf>
    <dxf>
      <font>
        <color theme="0"/>
      </font>
      <fill>
        <patternFill>
          <bgColor theme="0"/>
        </patternFill>
      </fill>
    </dxf>
    <dxf>
      <font>
        <color rgb="FF9C0006"/>
      </font>
      <fill>
        <patternFill>
          <bgColor rgb="FFFFC7CE"/>
        </patternFill>
      </fill>
    </dxf>
    <dxf>
      <font>
        <color rgb="FF9C0006"/>
      </font>
      <fill>
        <patternFill>
          <bgColor rgb="FFFFC7CE"/>
        </patternFill>
      </fill>
    </dxf>
    <dxf>
      <font>
        <color theme="3" tint="-0.499984740745262"/>
      </font>
    </dxf>
    <dxf>
      <font>
        <color theme="6" tint="0.39994506668294322"/>
      </font>
    </dxf>
    <dxf>
      <font>
        <color theme="5" tint="0.79998168889431442"/>
      </font>
      <fill>
        <patternFill>
          <bgColor theme="5" tint="0.79998168889431442"/>
        </patternFill>
      </fill>
    </dxf>
    <dxf>
      <font>
        <color theme="5" tint="0.79998168889431442"/>
      </font>
      <fill>
        <patternFill>
          <bgColor theme="5" tint="0.79998168889431442"/>
        </patternFill>
      </fill>
    </dxf>
    <dxf>
      <font>
        <color theme="0"/>
      </font>
    </dxf>
    <dxf>
      <font>
        <color theme="5" tint="0.59996337778862885"/>
      </font>
    </dxf>
    <dxf>
      <font>
        <color theme="4" tint="0.79998168889431442"/>
      </font>
      <fill>
        <patternFill>
          <bgColor theme="4" tint="0.79998168889431442"/>
        </patternFill>
      </fill>
      <border>
        <left/>
        <right/>
        <top/>
        <bottom/>
        <vertical/>
        <horizontal/>
      </border>
    </dxf>
    <dxf>
      <font>
        <color theme="3" tint="-0.499984740745262"/>
      </font>
    </dxf>
    <dxf>
      <font>
        <color theme="6" tint="0.39994506668294322"/>
      </font>
    </dxf>
    <dxf>
      <font>
        <color theme="5" tint="0.79998168889431442"/>
      </font>
      <fill>
        <patternFill>
          <bgColor theme="5" tint="0.79998168889431442"/>
        </patternFill>
      </fill>
    </dxf>
    <dxf>
      <font>
        <color theme="5" tint="0.79998168889431442"/>
      </font>
      <fill>
        <patternFill>
          <bgColor theme="5" tint="0.79998168889431442"/>
        </patternFill>
      </fill>
    </dxf>
    <dxf>
      <font>
        <color theme="0"/>
      </font>
    </dxf>
    <dxf>
      <font>
        <strike val="0"/>
        <color theme="4" tint="0.79998168889431442"/>
      </font>
      <fill>
        <patternFill patternType="solid">
          <bgColor theme="4" tint="0.79998168889431442"/>
        </patternFill>
      </fill>
      <border>
        <right/>
        <top/>
        <bottom/>
        <vertical/>
        <horizontal/>
      </border>
    </dxf>
    <dxf>
      <font>
        <color theme="4" tint="0.79998168889431442"/>
      </font>
      <fill>
        <patternFill patternType="solid">
          <bgColor theme="4" tint="0.79998168889431442"/>
        </patternFill>
      </fill>
      <border>
        <top/>
        <bottom/>
      </border>
    </dxf>
    <dxf>
      <font>
        <color theme="0"/>
      </font>
      <fill>
        <patternFill>
          <bgColor theme="3" tint="-0.24994659260841701"/>
        </patternFill>
      </fill>
      <border>
        <left style="thin">
          <color theme="3" tint="0.79998168889431442"/>
        </left>
        <right style="thin">
          <color theme="3" tint="0.79998168889431442"/>
        </right>
        <top style="thin">
          <color theme="3" tint="0.79998168889431442"/>
        </top>
        <bottom style="thin">
          <color theme="3" tint="0.79998168889431442"/>
        </bottom>
      </border>
    </dxf>
    <dxf>
      <font>
        <color theme="0"/>
      </font>
      <fill>
        <patternFill>
          <bgColor theme="4" tint="-0.24994659260841701"/>
        </patternFill>
      </fill>
      <border>
        <left style="thin">
          <color theme="4" tint="0.79998168889431442"/>
        </left>
        <right style="thin">
          <color theme="4" tint="0.79998168889431442"/>
        </right>
        <top style="thin">
          <color theme="4" tint="0.79998168889431442"/>
        </top>
        <bottom style="thin">
          <color theme="4" tint="0.79998168889431442"/>
        </bottom>
      </border>
    </dxf>
    <dxf>
      <font>
        <color theme="0"/>
      </font>
      <fill>
        <patternFill>
          <bgColor theme="0"/>
        </patternFill>
      </fill>
    </dxf>
    <dxf>
      <font>
        <color theme="0"/>
      </font>
      <fill>
        <patternFill>
          <bgColor theme="0"/>
        </patternFill>
      </fill>
    </dxf>
    <dxf>
      <fill>
        <patternFill>
          <bgColor theme="5" tint="0.79998168889431442"/>
        </patternFill>
      </fill>
    </dxf>
    <dxf>
      <fill>
        <patternFill>
          <bgColor theme="5" tint="0.39994506668294322"/>
        </patternFill>
      </fill>
    </dxf>
    <dxf>
      <font>
        <color theme="0"/>
      </font>
      <fill>
        <patternFill>
          <bgColor theme="5" tint="-0.499984740745262"/>
        </patternFill>
      </fill>
    </dxf>
    <dxf>
      <fill>
        <patternFill>
          <bgColor theme="5" tint="0.79998168889431442"/>
        </patternFill>
      </fill>
    </dxf>
    <dxf>
      <fill>
        <patternFill>
          <bgColor theme="5" tint="0.39994506668294322"/>
        </patternFill>
      </fill>
    </dxf>
    <dxf>
      <font>
        <color theme="0"/>
      </font>
      <fill>
        <patternFill>
          <bgColor theme="5" tint="-0.499984740745262"/>
        </patternFill>
      </fill>
    </dxf>
    <dxf>
      <fill>
        <patternFill>
          <bgColor theme="5" tint="0.79998168889431442"/>
        </patternFill>
      </fill>
    </dxf>
    <dxf>
      <fill>
        <patternFill>
          <bgColor theme="5" tint="0.39994506668294322"/>
        </patternFill>
      </fill>
    </dxf>
    <dxf>
      <font>
        <color theme="0"/>
      </font>
      <fill>
        <patternFill>
          <bgColor theme="5" tint="-0.499984740745262"/>
        </patternFill>
      </fill>
    </dxf>
    <dxf>
      <fill>
        <patternFill>
          <bgColor theme="5" tint="0.79998168889431442"/>
        </patternFill>
      </fill>
    </dxf>
    <dxf>
      <fill>
        <patternFill>
          <bgColor theme="5" tint="0.39994506668294322"/>
        </patternFill>
      </fill>
    </dxf>
    <dxf>
      <font>
        <color theme="0"/>
      </font>
      <fill>
        <patternFill>
          <bgColor theme="5" tint="-0.499984740745262"/>
        </patternFill>
      </fill>
    </dxf>
    <dxf>
      <fill>
        <patternFill>
          <bgColor theme="5" tint="0.79998168889431442"/>
        </patternFill>
      </fill>
    </dxf>
    <dxf>
      <fill>
        <patternFill>
          <bgColor theme="5" tint="0.39994506668294322"/>
        </patternFill>
      </fill>
    </dxf>
    <dxf>
      <font>
        <color theme="0"/>
      </font>
      <fill>
        <patternFill>
          <bgColor theme="5" tint="-0.499984740745262"/>
        </patternFill>
      </fill>
    </dxf>
    <dxf>
      <fill>
        <patternFill>
          <bgColor theme="5" tint="0.79998168889431442"/>
        </patternFill>
      </fill>
    </dxf>
    <dxf>
      <fill>
        <patternFill>
          <bgColor theme="5" tint="0.39994506668294322"/>
        </patternFill>
      </fill>
    </dxf>
    <dxf>
      <font>
        <color theme="0"/>
      </font>
      <fill>
        <patternFill>
          <bgColor theme="5" tint="-0.499984740745262"/>
        </patternFill>
      </fill>
    </dxf>
    <dxf>
      <font>
        <color auto="1"/>
      </font>
    </dxf>
  </dxfs>
  <tableStyles count="0" defaultTableStyle="TableStyleMedium2" defaultPivotStyle="PivotStyleLight16"/>
  <colors>
    <mruColors>
      <color rgb="FFFFFFCC"/>
      <color rgb="FFFFFF99"/>
      <color rgb="FF66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10/relationships/person" Target="persons/perso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1"/>
          <c:order val="0"/>
          <c:tx>
            <c:v>Mean</c:v>
          </c:tx>
          <c:marker>
            <c:symbol val="none"/>
          </c:marker>
          <c:cat>
            <c:numLit>
              <c:formatCode>General</c:formatCode>
              <c:ptCount val="16"/>
              <c:pt idx="0">
                <c:v>1</c:v>
              </c:pt>
              <c:pt idx="1">
                <c:v>1.1000000000000001</c:v>
              </c:pt>
              <c:pt idx="2">
                <c:v>1.2</c:v>
              </c:pt>
              <c:pt idx="3">
                <c:v>1.3</c:v>
              </c:pt>
              <c:pt idx="4">
                <c:v>1.4</c:v>
              </c:pt>
              <c:pt idx="5">
                <c:v>1.5</c:v>
              </c:pt>
              <c:pt idx="6">
                <c:v>1.6</c:v>
              </c:pt>
              <c:pt idx="7">
                <c:v>1.7</c:v>
              </c:pt>
              <c:pt idx="8">
                <c:v>1.8</c:v>
              </c:pt>
              <c:pt idx="9">
                <c:v>1.9</c:v>
              </c:pt>
              <c:pt idx="10">
                <c:v>2</c:v>
              </c:pt>
              <c:pt idx="11">
                <c:v>2.1</c:v>
              </c:pt>
              <c:pt idx="12">
                <c:v>2.2000000000000002</c:v>
              </c:pt>
              <c:pt idx="13">
                <c:v>2.2999999999999998</c:v>
              </c:pt>
              <c:pt idx="14">
                <c:v>2.4</c:v>
              </c:pt>
              <c:pt idx="15">
                <c:v>2.5</c:v>
              </c:pt>
            </c:numLit>
          </c:cat>
          <c:val>
            <c:numLit>
              <c:formatCode>General</c:formatCode>
              <c:ptCount val="16"/>
              <c:pt idx="0">
                <c:v>0.19956676972937282</c:v>
              </c:pt>
              <c:pt idx="1">
                <c:v>0.18322419388906874</c:v>
              </c:pt>
              <c:pt idx="2">
                <c:v>0.16932028430157053</c:v>
              </c:pt>
              <c:pt idx="3">
                <c:v>0.15738679511306253</c:v>
              </c:pt>
              <c:pt idx="4">
                <c:v>0.14702173422922049</c:v>
              </c:pt>
              <c:pt idx="5">
                <c:v>0.13793085546995043</c:v>
              </c:pt>
              <c:pt idx="6">
                <c:v>0.12989389770126636</c:v>
              </c:pt>
              <c:pt idx="7">
                <c:v>0.1227487892606578</c:v>
              </c:pt>
              <c:pt idx="8">
                <c:v>0.11634833954943669</c:v>
              </c:pt>
              <c:pt idx="9">
                <c:v>0.11056271295106668</c:v>
              </c:pt>
              <c:pt idx="10">
                <c:v>0.10533065869527691</c:v>
              </c:pt>
              <c:pt idx="11">
                <c:v>0.10058807063885133</c:v>
              </c:pt>
              <c:pt idx="12">
                <c:v>9.6243502866545816E-2</c:v>
              </c:pt>
              <c:pt idx="13">
                <c:v>9.2252964052764619E-2</c:v>
              </c:pt>
              <c:pt idx="14">
                <c:v>8.8596224333053586E-2</c:v>
              </c:pt>
              <c:pt idx="15">
                <c:v>8.5201885990491499E-2</c:v>
              </c:pt>
            </c:numLit>
          </c:val>
          <c:smooth val="0"/>
          <c:extLst>
            <c:ext xmlns:c16="http://schemas.microsoft.com/office/drawing/2014/chart" uri="{C3380CC4-5D6E-409C-BE32-E72D297353CC}">
              <c16:uniqueId val="{00000000-43E4-471E-A9FF-94AB5A24157C}"/>
            </c:ext>
          </c:extLst>
        </c:ser>
        <c:ser>
          <c:idx val="2"/>
          <c:order val="1"/>
          <c:tx>
            <c:v>L95</c:v>
          </c:tx>
          <c:marker>
            <c:symbol val="none"/>
          </c:marker>
          <c:cat>
            <c:numLit>
              <c:formatCode>General</c:formatCode>
              <c:ptCount val="16"/>
              <c:pt idx="0">
                <c:v>1</c:v>
              </c:pt>
              <c:pt idx="1">
                <c:v>1.1000000000000001</c:v>
              </c:pt>
              <c:pt idx="2">
                <c:v>1.2</c:v>
              </c:pt>
              <c:pt idx="3">
                <c:v>1.3</c:v>
              </c:pt>
              <c:pt idx="4">
                <c:v>1.4</c:v>
              </c:pt>
              <c:pt idx="5">
                <c:v>1.5</c:v>
              </c:pt>
              <c:pt idx="6">
                <c:v>1.6</c:v>
              </c:pt>
              <c:pt idx="7">
                <c:v>1.7</c:v>
              </c:pt>
              <c:pt idx="8">
                <c:v>1.8</c:v>
              </c:pt>
              <c:pt idx="9">
                <c:v>1.9</c:v>
              </c:pt>
              <c:pt idx="10">
                <c:v>2</c:v>
              </c:pt>
              <c:pt idx="11">
                <c:v>2.1</c:v>
              </c:pt>
              <c:pt idx="12">
                <c:v>2.2000000000000002</c:v>
              </c:pt>
              <c:pt idx="13">
                <c:v>2.2999999999999998</c:v>
              </c:pt>
              <c:pt idx="14">
                <c:v>2.4</c:v>
              </c:pt>
              <c:pt idx="15">
                <c:v>2.5</c:v>
              </c:pt>
            </c:numLit>
          </c:cat>
          <c:val>
            <c:numLit>
              <c:formatCode>General</c:formatCode>
              <c:ptCount val="16"/>
              <c:pt idx="0">
                <c:v>0.1273745241199814</c:v>
              </c:pt>
              <c:pt idx="1">
                <c:v>0.11651864962914127</c:v>
              </c:pt>
              <c:pt idx="2">
                <c:v>0.1073485104584363</c:v>
              </c:pt>
              <c:pt idx="3">
                <c:v>9.9522487578238117E-2</c:v>
              </c:pt>
              <c:pt idx="4">
                <c:v>9.2752743419157624E-2</c:v>
              </c:pt>
              <c:pt idx="5">
                <c:v>8.6837772171667882E-2</c:v>
              </c:pt>
              <c:pt idx="6">
                <c:v>8.1643190644201558E-2</c:v>
              </c:pt>
              <c:pt idx="7">
                <c:v>7.7029222277830711E-2</c:v>
              </c:pt>
              <c:pt idx="8">
                <c:v>7.2902786813174414E-2</c:v>
              </c:pt>
              <c:pt idx="9">
                <c:v>6.9219359070315511E-2</c:v>
              </c:pt>
              <c:pt idx="10">
                <c:v>6.5855752102482512E-2</c:v>
              </c:pt>
              <c:pt idx="11">
                <c:v>6.2841339808391461E-2</c:v>
              </c:pt>
              <c:pt idx="12">
                <c:v>6.0076054651664879E-2</c:v>
              </c:pt>
              <c:pt idx="13">
                <c:v>5.7536205218978287E-2</c:v>
              </c:pt>
              <c:pt idx="14">
                <c:v>5.5197645249778327E-2</c:v>
              </c:pt>
              <c:pt idx="15">
                <c:v>5.3061905692172284E-2</c:v>
              </c:pt>
            </c:numLit>
          </c:val>
          <c:smooth val="0"/>
          <c:extLst>
            <c:ext xmlns:c16="http://schemas.microsoft.com/office/drawing/2014/chart" uri="{C3380CC4-5D6E-409C-BE32-E72D297353CC}">
              <c16:uniqueId val="{00000001-43E4-471E-A9FF-94AB5A24157C}"/>
            </c:ext>
          </c:extLst>
        </c:ser>
        <c:ser>
          <c:idx val="3"/>
          <c:order val="2"/>
          <c:tx>
            <c:v>U95</c:v>
          </c:tx>
          <c:marker>
            <c:symbol val="none"/>
          </c:marker>
          <c:cat>
            <c:numLit>
              <c:formatCode>General</c:formatCode>
              <c:ptCount val="16"/>
              <c:pt idx="0">
                <c:v>1</c:v>
              </c:pt>
              <c:pt idx="1">
                <c:v>1.1000000000000001</c:v>
              </c:pt>
              <c:pt idx="2">
                <c:v>1.2</c:v>
              </c:pt>
              <c:pt idx="3">
                <c:v>1.3</c:v>
              </c:pt>
              <c:pt idx="4">
                <c:v>1.4</c:v>
              </c:pt>
              <c:pt idx="5">
                <c:v>1.5</c:v>
              </c:pt>
              <c:pt idx="6">
                <c:v>1.6</c:v>
              </c:pt>
              <c:pt idx="7">
                <c:v>1.7</c:v>
              </c:pt>
              <c:pt idx="8">
                <c:v>1.8</c:v>
              </c:pt>
              <c:pt idx="9">
                <c:v>1.9</c:v>
              </c:pt>
              <c:pt idx="10">
                <c:v>2</c:v>
              </c:pt>
              <c:pt idx="11">
                <c:v>2.1</c:v>
              </c:pt>
              <c:pt idx="12">
                <c:v>2.2000000000000002</c:v>
              </c:pt>
              <c:pt idx="13">
                <c:v>2.2999999999999998</c:v>
              </c:pt>
              <c:pt idx="14">
                <c:v>2.4</c:v>
              </c:pt>
              <c:pt idx="15">
                <c:v>2.5</c:v>
              </c:pt>
            </c:numLit>
          </c:cat>
          <c:val>
            <c:numLit>
              <c:formatCode>General</c:formatCode>
              <c:ptCount val="16"/>
              <c:pt idx="0">
                <c:v>0.27574621950033396</c:v>
              </c:pt>
              <c:pt idx="1">
                <c:v>0.25419225971997328</c:v>
              </c:pt>
              <c:pt idx="2">
                <c:v>0.23575195490003542</c:v>
              </c:pt>
              <c:pt idx="3">
                <c:v>0.21978303257093101</c:v>
              </c:pt>
              <c:pt idx="4">
                <c:v>0.20582382550049183</c:v>
              </c:pt>
              <c:pt idx="5">
                <c:v>0.19352694654777347</c:v>
              </c:pt>
              <c:pt idx="6">
                <c:v>0.18261671505289678</c:v>
              </c:pt>
              <c:pt idx="7">
                <c:v>0.172858154510937</c:v>
              </c:pt>
              <c:pt idx="8">
                <c:v>0.16408867217497647</c:v>
              </c:pt>
              <c:pt idx="9">
                <c:v>0.15617941049241557</c:v>
              </c:pt>
              <c:pt idx="10">
                <c:v>0.14896898969563621</c:v>
              </c:pt>
              <c:pt idx="11">
                <c:v>0.14242930840693213</c:v>
              </c:pt>
              <c:pt idx="12">
                <c:v>0.1364102803437105</c:v>
              </c:pt>
              <c:pt idx="13">
                <c:v>0.13087567731165772</c:v>
              </c:pt>
              <c:pt idx="14">
                <c:v>0.12578718546342249</c:v>
              </c:pt>
              <c:pt idx="15">
                <c:v>0.12108043305862903</c:v>
              </c:pt>
            </c:numLit>
          </c:val>
          <c:smooth val="0"/>
          <c:extLst>
            <c:ext xmlns:c16="http://schemas.microsoft.com/office/drawing/2014/chart" uri="{C3380CC4-5D6E-409C-BE32-E72D297353CC}">
              <c16:uniqueId val="{00000002-43E4-471E-A9FF-94AB5A24157C}"/>
            </c:ext>
          </c:extLst>
        </c:ser>
        <c:dLbls>
          <c:showLegendKey val="0"/>
          <c:showVal val="0"/>
          <c:showCatName val="0"/>
          <c:showSerName val="0"/>
          <c:showPercent val="0"/>
          <c:showBubbleSize val="0"/>
        </c:dLbls>
        <c:smooth val="0"/>
        <c:axId val="189953536"/>
        <c:axId val="189955456"/>
      </c:lineChart>
      <c:catAx>
        <c:axId val="189953536"/>
        <c:scaling>
          <c:orientation val="minMax"/>
        </c:scaling>
        <c:delete val="0"/>
        <c:axPos val="b"/>
        <c:title>
          <c:tx>
            <c:rich>
              <a:bodyPr/>
              <a:lstStyle/>
              <a:p>
                <a:pPr>
                  <a:defRPr/>
                </a:pPr>
                <a:r>
                  <a:rPr lang="en-US"/>
                  <a:t>Average # of Birds in a Forage Group</a:t>
                </a:r>
              </a:p>
            </c:rich>
          </c:tx>
          <c:layout>
            <c:manualLayout>
              <c:xMode val="edge"/>
              <c:yMode val="edge"/>
              <c:x val="0.31263298337707784"/>
              <c:y val="0.90182852143482062"/>
            </c:manualLayout>
          </c:layout>
          <c:overlay val="0"/>
        </c:title>
        <c:numFmt formatCode="General" sourceLinked="1"/>
        <c:majorTickMark val="out"/>
        <c:minorTickMark val="none"/>
        <c:tickLblPos val="nextTo"/>
        <c:crossAx val="189955456"/>
        <c:crosses val="autoZero"/>
        <c:auto val="1"/>
        <c:lblAlgn val="ctr"/>
        <c:lblOffset val="100"/>
        <c:noMultiLvlLbl val="0"/>
      </c:catAx>
      <c:valAx>
        <c:axId val="189955456"/>
        <c:scaling>
          <c:orientation val="minMax"/>
        </c:scaling>
        <c:delete val="0"/>
        <c:axPos val="l"/>
        <c:majorGridlines/>
        <c:title>
          <c:tx>
            <c:rich>
              <a:bodyPr rot="-5400000" vert="horz"/>
              <a:lstStyle/>
              <a:p>
                <a:pPr>
                  <a:defRPr/>
                </a:pPr>
                <a:r>
                  <a:rPr lang="en-US"/>
                  <a:t>Probability of 1 or More Bird Groups Exposed</a:t>
                </a:r>
              </a:p>
            </c:rich>
          </c:tx>
          <c:overlay val="0"/>
        </c:title>
        <c:numFmt formatCode="General" sourceLinked="1"/>
        <c:majorTickMark val="out"/>
        <c:minorTickMark val="none"/>
        <c:tickLblPos val="nextTo"/>
        <c:crossAx val="189953536"/>
        <c:crosses val="autoZero"/>
        <c:crossBetween val="between"/>
      </c:valAx>
    </c:plotArea>
    <c:legend>
      <c:legendPos val="t"/>
      <c:layout>
        <c:manualLayout>
          <c:xMode val="edge"/>
          <c:yMode val="edge"/>
          <c:x val="0.44199409448818905"/>
          <c:y val="0.21759259259259259"/>
          <c:w val="0.42156714785651794"/>
          <c:h val="7.0293152131493772E-2"/>
        </c:manualLayout>
      </c:layout>
      <c:overlay val="1"/>
    </c:legend>
    <c:plotVisOnly val="1"/>
    <c:dispBlanksAs val="gap"/>
    <c:showDLblsOverMax val="0"/>
  </c:chart>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Conservation Zone 2 </a:t>
            </a:r>
          </a:p>
          <a:p>
            <a:pPr>
              <a:defRPr/>
            </a:pPr>
            <a:r>
              <a:rPr lang="en-US"/>
              <a:t>2001-2010 Summer Murrelet Density by Stratum</a:t>
            </a:r>
          </a:p>
        </c:rich>
      </c:tx>
      <c:overlay val="0"/>
    </c:title>
    <c:autoTitleDeleted val="0"/>
    <c:plotArea>
      <c:layout/>
      <c:lineChart>
        <c:grouping val="standard"/>
        <c:varyColors val="0"/>
        <c:ser>
          <c:idx val="0"/>
          <c:order val="0"/>
          <c:tx>
            <c:v>Stratum 1</c:v>
          </c:tx>
          <c:cat>
            <c:numRef>
              <c:f>'Old_Pop Data'!$A$36:$A$45</c:f>
              <c:numCache>
                <c:formatCode>General</c:formatCode>
                <c:ptCount val="10"/>
                <c:pt idx="0">
                  <c:v>2001</c:v>
                </c:pt>
                <c:pt idx="1">
                  <c:v>2002</c:v>
                </c:pt>
                <c:pt idx="2">
                  <c:v>2003</c:v>
                </c:pt>
                <c:pt idx="3">
                  <c:v>2004</c:v>
                </c:pt>
                <c:pt idx="4">
                  <c:v>2005</c:v>
                </c:pt>
                <c:pt idx="5">
                  <c:v>2006</c:v>
                </c:pt>
                <c:pt idx="6">
                  <c:v>2007</c:v>
                </c:pt>
                <c:pt idx="7">
                  <c:v>2008</c:v>
                </c:pt>
                <c:pt idx="8">
                  <c:v>2009</c:v>
                </c:pt>
                <c:pt idx="9">
                  <c:v>2010</c:v>
                </c:pt>
              </c:numCache>
            </c:numRef>
          </c:cat>
          <c:val>
            <c:numRef>
              <c:f>'Old_Pop Data'!$T$36:$T$45</c:f>
              <c:numCache>
                <c:formatCode>General</c:formatCode>
                <c:ptCount val="10"/>
                <c:pt idx="0">
                  <c:v>1.5059</c:v>
                </c:pt>
                <c:pt idx="1">
                  <c:v>3.1313</c:v>
                </c:pt>
                <c:pt idx="2">
                  <c:v>2.5615000000000001</c:v>
                </c:pt>
                <c:pt idx="3">
                  <c:v>3.4367000000000001</c:v>
                </c:pt>
                <c:pt idx="4">
                  <c:v>2.7282999999999999</c:v>
                </c:pt>
                <c:pt idx="5">
                  <c:v>2.2608000000000001</c:v>
                </c:pt>
                <c:pt idx="6">
                  <c:v>2.8382999999999998</c:v>
                </c:pt>
                <c:pt idx="7">
                  <c:v>2.6042000000000001</c:v>
                </c:pt>
                <c:pt idx="8">
                  <c:v>1.6143000000000001</c:v>
                </c:pt>
                <c:pt idx="9">
                  <c:v>1.3361000000000001</c:v>
                </c:pt>
              </c:numCache>
            </c:numRef>
          </c:val>
          <c:smooth val="0"/>
          <c:extLst>
            <c:ext xmlns:c16="http://schemas.microsoft.com/office/drawing/2014/chart" uri="{C3380CC4-5D6E-409C-BE32-E72D297353CC}">
              <c16:uniqueId val="{00000000-AE66-4B58-9711-FE17DE003567}"/>
            </c:ext>
          </c:extLst>
        </c:ser>
        <c:ser>
          <c:idx val="1"/>
          <c:order val="1"/>
          <c:tx>
            <c:v>Stratum 2</c:v>
          </c:tx>
          <c:cat>
            <c:numRef>
              <c:f>'Old_Pop Data'!$A$36:$A$45</c:f>
              <c:numCache>
                <c:formatCode>General</c:formatCode>
                <c:ptCount val="10"/>
                <c:pt idx="0">
                  <c:v>2001</c:v>
                </c:pt>
                <c:pt idx="1">
                  <c:v>2002</c:v>
                </c:pt>
                <c:pt idx="2">
                  <c:v>2003</c:v>
                </c:pt>
                <c:pt idx="3">
                  <c:v>2004</c:v>
                </c:pt>
                <c:pt idx="4">
                  <c:v>2005</c:v>
                </c:pt>
                <c:pt idx="5">
                  <c:v>2006</c:v>
                </c:pt>
                <c:pt idx="6">
                  <c:v>2007</c:v>
                </c:pt>
                <c:pt idx="7">
                  <c:v>2008</c:v>
                </c:pt>
                <c:pt idx="8">
                  <c:v>2009</c:v>
                </c:pt>
                <c:pt idx="9">
                  <c:v>2010</c:v>
                </c:pt>
              </c:numCache>
            </c:numRef>
          </c:cat>
          <c:val>
            <c:numRef>
              <c:f>'Old_Pop Data'!$Z$36:$Z$45</c:f>
              <c:numCache>
                <c:formatCode>General</c:formatCode>
                <c:ptCount val="10"/>
                <c:pt idx="0">
                  <c:v>0.69869999999999999</c:v>
                </c:pt>
                <c:pt idx="1">
                  <c:v>0.379</c:v>
                </c:pt>
                <c:pt idx="2">
                  <c:v>1.5744</c:v>
                </c:pt>
                <c:pt idx="3">
                  <c:v>0.62809999999999999</c:v>
                </c:pt>
                <c:pt idx="4">
                  <c:v>0.55679999999999996</c:v>
                </c:pt>
                <c:pt idx="5">
                  <c:v>0.80249999999999999</c:v>
                </c:pt>
                <c:pt idx="6">
                  <c:v>0.50639999999999996</c:v>
                </c:pt>
                <c:pt idx="7">
                  <c:v>6.25E-2</c:v>
                </c:pt>
                <c:pt idx="8">
                  <c:v>0.1047</c:v>
                </c:pt>
                <c:pt idx="9">
                  <c:v>0.34339999999999998</c:v>
                </c:pt>
              </c:numCache>
            </c:numRef>
          </c:val>
          <c:smooth val="0"/>
          <c:extLst>
            <c:ext xmlns:c16="http://schemas.microsoft.com/office/drawing/2014/chart" uri="{C3380CC4-5D6E-409C-BE32-E72D297353CC}">
              <c16:uniqueId val="{00000001-AE66-4B58-9711-FE17DE003567}"/>
            </c:ext>
          </c:extLst>
        </c:ser>
        <c:dLbls>
          <c:showLegendKey val="0"/>
          <c:showVal val="0"/>
          <c:showCatName val="0"/>
          <c:showSerName val="0"/>
          <c:showPercent val="0"/>
          <c:showBubbleSize val="0"/>
        </c:dLbls>
        <c:marker val="1"/>
        <c:smooth val="0"/>
        <c:axId val="269327360"/>
        <c:axId val="269333632"/>
      </c:lineChart>
      <c:catAx>
        <c:axId val="269327360"/>
        <c:scaling>
          <c:orientation val="minMax"/>
        </c:scaling>
        <c:delete val="0"/>
        <c:axPos val="b"/>
        <c:title>
          <c:tx>
            <c:rich>
              <a:bodyPr/>
              <a:lstStyle/>
              <a:p>
                <a:pPr>
                  <a:defRPr/>
                </a:pPr>
                <a:r>
                  <a:rPr lang="en-US"/>
                  <a:t>Survey Year</a:t>
                </a:r>
              </a:p>
            </c:rich>
          </c:tx>
          <c:overlay val="0"/>
        </c:title>
        <c:numFmt formatCode="General" sourceLinked="1"/>
        <c:majorTickMark val="out"/>
        <c:minorTickMark val="none"/>
        <c:tickLblPos val="nextTo"/>
        <c:crossAx val="269333632"/>
        <c:crosses val="autoZero"/>
        <c:auto val="1"/>
        <c:lblAlgn val="ctr"/>
        <c:lblOffset val="100"/>
        <c:tickLblSkip val="2"/>
        <c:noMultiLvlLbl val="0"/>
      </c:catAx>
      <c:valAx>
        <c:axId val="269333632"/>
        <c:scaling>
          <c:orientation val="minMax"/>
          <c:max val="8"/>
          <c:min val="0"/>
        </c:scaling>
        <c:delete val="0"/>
        <c:axPos val="l"/>
        <c:majorGridlines/>
        <c:title>
          <c:tx>
            <c:rich>
              <a:bodyPr rot="-5400000" vert="horz"/>
              <a:lstStyle/>
              <a:p>
                <a:pPr>
                  <a:defRPr/>
                </a:pPr>
                <a:r>
                  <a:rPr lang="en-US"/>
                  <a:t># birds/km^2</a:t>
                </a:r>
              </a:p>
            </c:rich>
          </c:tx>
          <c:overlay val="0"/>
        </c:title>
        <c:numFmt formatCode="General" sourceLinked="1"/>
        <c:majorTickMark val="out"/>
        <c:minorTickMark val="none"/>
        <c:tickLblPos val="nextTo"/>
        <c:crossAx val="269327360"/>
        <c:crosses val="autoZero"/>
        <c:crossBetween val="between"/>
        <c:majorUnit val="2"/>
      </c:valAx>
    </c:plotArea>
    <c:legend>
      <c:legendPos val="r"/>
      <c:overlay val="0"/>
    </c:legend>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1"/>
          <c:order val="0"/>
          <c:tx>
            <c:v>Mean</c:v>
          </c:tx>
          <c:marker>
            <c:symbol val="none"/>
          </c:marker>
          <c:trendline>
            <c:trendlineType val="linear"/>
            <c:dispRSqr val="0"/>
            <c:dispEq val="0"/>
          </c:trendline>
          <c:cat>
            <c:numLit>
              <c:formatCode>General</c:formatCode>
              <c:ptCount val="26"/>
              <c:pt idx="0">
                <c:v>250</c:v>
              </c:pt>
              <c:pt idx="1">
                <c:v>500</c:v>
              </c:pt>
              <c:pt idx="2">
                <c:v>750</c:v>
              </c:pt>
              <c:pt idx="3">
                <c:v>1000</c:v>
              </c:pt>
              <c:pt idx="4">
                <c:v>1250</c:v>
              </c:pt>
              <c:pt idx="5">
                <c:v>1500</c:v>
              </c:pt>
              <c:pt idx="6">
                <c:v>1750</c:v>
              </c:pt>
              <c:pt idx="7">
                <c:v>2000</c:v>
              </c:pt>
              <c:pt idx="8">
                <c:v>2250</c:v>
              </c:pt>
              <c:pt idx="9">
                <c:v>2500</c:v>
              </c:pt>
              <c:pt idx="10">
                <c:v>2750</c:v>
              </c:pt>
              <c:pt idx="11">
                <c:v>3000</c:v>
              </c:pt>
              <c:pt idx="12">
                <c:v>3250</c:v>
              </c:pt>
              <c:pt idx="13">
                <c:v>3500</c:v>
              </c:pt>
              <c:pt idx="14">
                <c:v>3750</c:v>
              </c:pt>
              <c:pt idx="15">
                <c:v>4000</c:v>
              </c:pt>
              <c:pt idx="16">
                <c:v>4250</c:v>
              </c:pt>
              <c:pt idx="17">
                <c:v>4500</c:v>
              </c:pt>
              <c:pt idx="18">
                <c:v>4750</c:v>
              </c:pt>
              <c:pt idx="19">
                <c:v>5000</c:v>
              </c:pt>
              <c:pt idx="20">
                <c:v>5250</c:v>
              </c:pt>
              <c:pt idx="21">
                <c:v>5500</c:v>
              </c:pt>
              <c:pt idx="22">
                <c:v>5750</c:v>
              </c:pt>
              <c:pt idx="23">
                <c:v>6000</c:v>
              </c:pt>
              <c:pt idx="24">
                <c:v>6250</c:v>
              </c:pt>
              <c:pt idx="25">
                <c:v>6500</c:v>
              </c:pt>
            </c:numLit>
          </c:cat>
          <c:val>
            <c:numLit>
              <c:formatCode>General</c:formatCode>
              <c:ptCount val="26"/>
              <c:pt idx="0">
                <c:v>7.2978537751691164E-3</c:v>
              </c:pt>
              <c:pt idx="1">
                <c:v>1.4542448880614511E-2</c:v>
              </c:pt>
              <c:pt idx="2">
                <c:v>2.173417399031996E-2</c:v>
              </c:pt>
              <c:pt idx="3">
                <c:v>2.8873414941783637E-2</c:v>
              </c:pt>
              <c:pt idx="4">
                <c:v>3.5960554756717888E-2</c:v>
              </c:pt>
              <c:pt idx="5">
                <c:v>4.2995973661598574E-2</c:v>
              </c:pt>
              <c:pt idx="6">
                <c:v>4.9980049108064306E-2</c:v>
              </c:pt>
              <c:pt idx="7">
                <c:v>5.6913155793166914E-2</c:v>
              </c:pt>
              <c:pt idx="8">
                <c:v>6.3795665679474145E-2</c:v>
              </c:pt>
              <c:pt idx="9">
                <c:v>7.0602356343249295E-2</c:v>
              </c:pt>
              <c:pt idx="10">
                <c:v>7.7384964445643023E-2</c:v>
              </c:pt>
              <c:pt idx="11">
                <c:v>8.4118074065891113E-2</c:v>
              </c:pt>
              <c:pt idx="12">
                <c:v>9.0802046436678552E-2</c:v>
              </c:pt>
              <c:pt idx="13">
                <c:v>9.7437240154466642E-2</c:v>
              </c:pt>
              <c:pt idx="14">
                <c:v>0.1040240111987325</c:v>
              </c:pt>
              <c:pt idx="15">
                <c:v>0.11056271295106668</c:v>
              </c:pt>
              <c:pt idx="16">
                <c:v>0.11705369621413286</c:v>
              </c:pt>
              <c:pt idx="17">
                <c:v>0.12349730923048818</c:v>
              </c:pt>
              <c:pt idx="18">
                <c:v>0.12989389770126636</c:v>
              </c:pt>
              <c:pt idx="19">
                <c:v>0.13622001996527944</c:v>
              </c:pt>
              <c:pt idx="20">
                <c:v>0.14252375995349131</c:v>
              </c:pt>
              <c:pt idx="21">
                <c:v>0.14878149616903258</c:v>
              </c:pt>
              <c:pt idx="22">
                <c:v>0.15499356434070921</c:v>
              </c:pt>
              <c:pt idx="23">
                <c:v>0.16116029774722751</c:v>
              </c:pt>
              <c:pt idx="24">
                <c:v>0.16728202723507468</c:v>
              </c:pt>
              <c:pt idx="25">
                <c:v>0.17335908123626831</c:v>
              </c:pt>
            </c:numLit>
          </c:val>
          <c:smooth val="0"/>
          <c:extLst>
            <c:ext xmlns:c16="http://schemas.microsoft.com/office/drawing/2014/chart" uri="{C3380CC4-5D6E-409C-BE32-E72D297353CC}">
              <c16:uniqueId val="{00000000-3022-4D8D-B2B3-3FB9453C9672}"/>
            </c:ext>
          </c:extLst>
        </c:ser>
        <c:dLbls>
          <c:showLegendKey val="0"/>
          <c:showVal val="0"/>
          <c:showCatName val="0"/>
          <c:showSerName val="0"/>
          <c:showPercent val="0"/>
          <c:showBubbleSize val="0"/>
        </c:dLbls>
        <c:smooth val="0"/>
        <c:axId val="189985152"/>
        <c:axId val="189987072"/>
      </c:lineChart>
      <c:catAx>
        <c:axId val="189985152"/>
        <c:scaling>
          <c:orientation val="minMax"/>
        </c:scaling>
        <c:delete val="0"/>
        <c:axPos val="b"/>
        <c:title>
          <c:tx>
            <c:rich>
              <a:bodyPr/>
              <a:lstStyle/>
              <a:p>
                <a:pPr>
                  <a:defRPr/>
                </a:pPr>
                <a:r>
                  <a:rPr lang="en-US"/>
                  <a:t>Mean Summer Density</a:t>
                </a:r>
              </a:p>
            </c:rich>
          </c:tx>
          <c:overlay val="0"/>
        </c:title>
        <c:numFmt formatCode="General" sourceLinked="1"/>
        <c:majorTickMark val="out"/>
        <c:minorTickMark val="none"/>
        <c:tickLblPos val="nextTo"/>
        <c:crossAx val="189987072"/>
        <c:crosses val="autoZero"/>
        <c:auto val="1"/>
        <c:lblAlgn val="ctr"/>
        <c:lblOffset val="100"/>
        <c:noMultiLvlLbl val="0"/>
      </c:catAx>
      <c:valAx>
        <c:axId val="189987072"/>
        <c:scaling>
          <c:orientation val="minMax"/>
        </c:scaling>
        <c:delete val="0"/>
        <c:axPos val="l"/>
        <c:majorGridlines/>
        <c:title>
          <c:tx>
            <c:rich>
              <a:bodyPr rot="-5400000" vert="horz"/>
              <a:lstStyle/>
              <a:p>
                <a:pPr>
                  <a:defRPr/>
                </a:pPr>
                <a:r>
                  <a:rPr lang="en-US" sz="1000" b="1" i="0" baseline="0">
                    <a:effectLst/>
                  </a:rPr>
                  <a:t>Probability of 1 or More Bird Groups Exposed</a:t>
                </a:r>
                <a:endParaRPr lang="en-US" sz="1000">
                  <a:effectLst/>
                </a:endParaRPr>
              </a:p>
            </c:rich>
          </c:tx>
          <c:layout>
            <c:manualLayout>
              <c:xMode val="edge"/>
              <c:yMode val="edge"/>
              <c:x val="0"/>
              <c:y val="9.7581291921843102E-2"/>
            </c:manualLayout>
          </c:layout>
          <c:overlay val="0"/>
        </c:title>
        <c:numFmt formatCode="General" sourceLinked="1"/>
        <c:majorTickMark val="out"/>
        <c:minorTickMark val="none"/>
        <c:tickLblPos val="nextTo"/>
        <c:crossAx val="189985152"/>
        <c:crosses val="autoZero"/>
        <c:crossBetween val="between"/>
      </c:valAx>
    </c:plotArea>
    <c:plotVisOnly val="1"/>
    <c:dispBlanksAs val="gap"/>
    <c:showDLblsOverMax val="0"/>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1"/>
          <c:order val="0"/>
          <c:tx>
            <c:v>Mean</c:v>
          </c:tx>
          <c:marker>
            <c:symbol val="none"/>
          </c:marker>
          <c:cat>
            <c:numLit>
              <c:formatCode>General</c:formatCode>
              <c:ptCount val="21"/>
              <c:pt idx="0">
                <c:v>1</c:v>
              </c:pt>
              <c:pt idx="1">
                <c:v>1.1000000000000001</c:v>
              </c:pt>
              <c:pt idx="2">
                <c:v>1.2</c:v>
              </c:pt>
              <c:pt idx="3">
                <c:v>1.3</c:v>
              </c:pt>
              <c:pt idx="4">
                <c:v>1.4</c:v>
              </c:pt>
              <c:pt idx="5">
                <c:v>1.5</c:v>
              </c:pt>
              <c:pt idx="6">
                <c:v>1.6</c:v>
              </c:pt>
              <c:pt idx="7">
                <c:v>1.7</c:v>
              </c:pt>
              <c:pt idx="8">
                <c:v>1.8</c:v>
              </c:pt>
              <c:pt idx="9">
                <c:v>1.9</c:v>
              </c:pt>
              <c:pt idx="10">
                <c:v>2</c:v>
              </c:pt>
              <c:pt idx="11">
                <c:v>2.1</c:v>
              </c:pt>
              <c:pt idx="12">
                <c:v>2.2000000000000002</c:v>
              </c:pt>
              <c:pt idx="13">
                <c:v>2.2999999999999998</c:v>
              </c:pt>
              <c:pt idx="14">
                <c:v>2.4</c:v>
              </c:pt>
              <c:pt idx="15">
                <c:v>2.5</c:v>
              </c:pt>
              <c:pt idx="16">
                <c:v>2.6</c:v>
              </c:pt>
              <c:pt idx="17">
                <c:v>2.7</c:v>
              </c:pt>
              <c:pt idx="18">
                <c:v>2.8</c:v>
              </c:pt>
              <c:pt idx="19">
                <c:v>2.9</c:v>
              </c:pt>
              <c:pt idx="20">
                <c:v>3</c:v>
              </c:pt>
            </c:numLit>
          </c:cat>
          <c:val>
            <c:numLit>
              <c:formatCode>General</c:formatCode>
              <c:ptCount val="21"/>
              <c:pt idx="0">
                <c:v>6.7551910350032274E-2</c:v>
              </c:pt>
              <c:pt idx="1">
                <c:v>7.4050865920432529E-2</c:v>
              </c:pt>
              <c:pt idx="2">
                <c:v>8.0504525217533596E-2</c:v>
              </c:pt>
              <c:pt idx="3">
                <c:v>8.6913203946274997E-2</c:v>
              </c:pt>
              <c:pt idx="4">
                <c:v>9.3277215611203057E-2</c:v>
              </c:pt>
              <c:pt idx="5">
                <c:v>9.9596871531807074E-2</c:v>
              </c:pt>
              <c:pt idx="6">
                <c:v>0.10587248085774914</c:v>
              </c:pt>
              <c:pt idx="7">
                <c:v>0.11210435058398671</c:v>
              </c:pt>
              <c:pt idx="8">
                <c:v>0.11829278556579081</c:v>
              </c:pt>
              <c:pt idx="9">
                <c:v>0.12441397860587577</c:v>
              </c:pt>
              <c:pt idx="10">
                <c:v>0.13051661822117056</c:v>
              </c:pt>
              <c:pt idx="11">
                <c:v>0.13657672379713159</c:v>
              </c:pt>
              <c:pt idx="12">
                <c:v>0.14259459178654244</c:v>
              </c:pt>
              <c:pt idx="13">
                <c:v>0.14857051657597697</c:v>
              </c:pt>
              <c:pt idx="14">
                <c:v>0.15450479050020016</c:v>
              </c:pt>
              <c:pt idx="15">
                <c:v>0.16039770385646879</c:v>
              </c:pt>
              <c:pt idx="16">
                <c:v>0.16624954491873223</c:v>
              </c:pt>
              <c:pt idx="17">
                <c:v>0.17206059995173484</c:v>
              </c:pt>
              <c:pt idx="18">
                <c:v>0.17783115322501941</c:v>
              </c:pt>
              <c:pt idx="19">
                <c:v>0.18356148702683306</c:v>
              </c:pt>
              <c:pt idx="20">
                <c:v>0.18922955649644213</c:v>
              </c:pt>
            </c:numLit>
          </c:val>
          <c:smooth val="0"/>
          <c:extLst>
            <c:ext xmlns:c16="http://schemas.microsoft.com/office/drawing/2014/chart" uri="{C3380CC4-5D6E-409C-BE32-E72D297353CC}">
              <c16:uniqueId val="{00000000-50A0-4945-B933-C78FE40BCC4B}"/>
            </c:ext>
          </c:extLst>
        </c:ser>
        <c:ser>
          <c:idx val="2"/>
          <c:order val="1"/>
          <c:tx>
            <c:v>L95</c:v>
          </c:tx>
          <c:marker>
            <c:symbol val="none"/>
          </c:marker>
          <c:cat>
            <c:numLit>
              <c:formatCode>General</c:formatCode>
              <c:ptCount val="21"/>
              <c:pt idx="0">
                <c:v>1</c:v>
              </c:pt>
              <c:pt idx="1">
                <c:v>1.1000000000000001</c:v>
              </c:pt>
              <c:pt idx="2">
                <c:v>1.2</c:v>
              </c:pt>
              <c:pt idx="3">
                <c:v>1.3</c:v>
              </c:pt>
              <c:pt idx="4">
                <c:v>1.4</c:v>
              </c:pt>
              <c:pt idx="5">
                <c:v>1.5</c:v>
              </c:pt>
              <c:pt idx="6">
                <c:v>1.6</c:v>
              </c:pt>
              <c:pt idx="7">
                <c:v>1.7</c:v>
              </c:pt>
              <c:pt idx="8">
                <c:v>1.8</c:v>
              </c:pt>
              <c:pt idx="9">
                <c:v>1.9</c:v>
              </c:pt>
              <c:pt idx="10">
                <c:v>2</c:v>
              </c:pt>
              <c:pt idx="11">
                <c:v>2.1</c:v>
              </c:pt>
              <c:pt idx="12">
                <c:v>2.2000000000000002</c:v>
              </c:pt>
              <c:pt idx="13">
                <c:v>2.2999999999999998</c:v>
              </c:pt>
              <c:pt idx="14">
                <c:v>2.4</c:v>
              </c:pt>
              <c:pt idx="15">
                <c:v>2.5</c:v>
              </c:pt>
              <c:pt idx="16">
                <c:v>2.6</c:v>
              </c:pt>
              <c:pt idx="17">
                <c:v>2.7</c:v>
              </c:pt>
              <c:pt idx="18">
                <c:v>2.8</c:v>
              </c:pt>
              <c:pt idx="19">
                <c:v>2.9</c:v>
              </c:pt>
              <c:pt idx="20">
                <c:v>3</c:v>
              </c:pt>
            </c:numLit>
          </c:cat>
          <c:val>
            <c:numLit>
              <c:formatCode>General</c:formatCode>
              <c:ptCount val="21"/>
              <c:pt idx="0">
                <c:v>4.1914923441745855E-2</c:v>
              </c:pt>
              <c:pt idx="1">
                <c:v>4.5995413895932757E-2</c:v>
              </c:pt>
              <c:pt idx="2">
                <c:v>5.0084682877039155E-2</c:v>
              </c:pt>
              <c:pt idx="3">
                <c:v>5.4130378273663404E-2</c:v>
              </c:pt>
              <c:pt idx="4">
                <c:v>5.8184777341169003E-2</c:v>
              </c:pt>
              <c:pt idx="5">
                <c:v>6.2195974383787322E-2</c:v>
              </c:pt>
              <c:pt idx="6">
                <c:v>6.621580087955925E-2</c:v>
              </c:pt>
              <c:pt idx="7">
                <c:v>7.0192793741685078E-2</c:v>
              </c:pt>
              <c:pt idx="8">
                <c:v>7.417834247210453E-2</c:v>
              </c:pt>
              <c:pt idx="9">
                <c:v>7.8121422818782205E-2</c:v>
              </c:pt>
              <c:pt idx="10">
                <c:v>8.2047709561104298E-2</c:v>
              </c:pt>
              <c:pt idx="11">
                <c:v>8.5982443085559135E-2</c:v>
              </c:pt>
              <c:pt idx="12">
                <c:v>8.9875249692407233E-2</c:v>
              </c:pt>
              <c:pt idx="13">
                <c:v>9.3776431054195974E-2</c:v>
              </c:pt>
              <c:pt idx="14">
                <c:v>9.7636043016555596E-2</c:v>
              </c:pt>
              <c:pt idx="15">
                <c:v>0.10150395832085191</c:v>
              </c:pt>
              <c:pt idx="16">
                <c:v>0.10533065869527691</c:v>
              </c:pt>
              <c:pt idx="17">
                <c:v>0.10916559160758599</c:v>
              </c:pt>
              <c:pt idx="18">
                <c:v>0.1129596610369572</c:v>
              </c:pt>
              <c:pt idx="19">
                <c:v>0.11676189280391858</c:v>
              </c:pt>
              <c:pt idx="20">
                <c:v>0.12052360953802588</c:v>
              </c:pt>
            </c:numLit>
          </c:val>
          <c:smooth val="0"/>
          <c:extLst>
            <c:ext xmlns:c16="http://schemas.microsoft.com/office/drawing/2014/chart" uri="{C3380CC4-5D6E-409C-BE32-E72D297353CC}">
              <c16:uniqueId val="{00000001-50A0-4945-B933-C78FE40BCC4B}"/>
            </c:ext>
          </c:extLst>
        </c:ser>
        <c:ser>
          <c:idx val="3"/>
          <c:order val="2"/>
          <c:tx>
            <c:v>U95</c:v>
          </c:tx>
          <c:marker>
            <c:symbol val="none"/>
          </c:marker>
          <c:cat>
            <c:numLit>
              <c:formatCode>General</c:formatCode>
              <c:ptCount val="21"/>
              <c:pt idx="0">
                <c:v>1</c:v>
              </c:pt>
              <c:pt idx="1">
                <c:v>1.1000000000000001</c:v>
              </c:pt>
              <c:pt idx="2">
                <c:v>1.2</c:v>
              </c:pt>
              <c:pt idx="3">
                <c:v>1.3</c:v>
              </c:pt>
              <c:pt idx="4">
                <c:v>1.4</c:v>
              </c:pt>
              <c:pt idx="5">
                <c:v>1.5</c:v>
              </c:pt>
              <c:pt idx="6">
                <c:v>1.6</c:v>
              </c:pt>
              <c:pt idx="7">
                <c:v>1.7</c:v>
              </c:pt>
              <c:pt idx="8">
                <c:v>1.8</c:v>
              </c:pt>
              <c:pt idx="9">
                <c:v>1.9</c:v>
              </c:pt>
              <c:pt idx="10">
                <c:v>2</c:v>
              </c:pt>
              <c:pt idx="11">
                <c:v>2.1</c:v>
              </c:pt>
              <c:pt idx="12">
                <c:v>2.2000000000000002</c:v>
              </c:pt>
              <c:pt idx="13">
                <c:v>2.2999999999999998</c:v>
              </c:pt>
              <c:pt idx="14">
                <c:v>2.4</c:v>
              </c:pt>
              <c:pt idx="15">
                <c:v>2.5</c:v>
              </c:pt>
              <c:pt idx="16">
                <c:v>2.6</c:v>
              </c:pt>
              <c:pt idx="17">
                <c:v>2.7</c:v>
              </c:pt>
              <c:pt idx="18">
                <c:v>2.8</c:v>
              </c:pt>
              <c:pt idx="19">
                <c:v>2.9</c:v>
              </c:pt>
              <c:pt idx="20">
                <c:v>3</c:v>
              </c:pt>
            </c:numLit>
          </c:cat>
          <c:val>
            <c:numLit>
              <c:formatCode>General</c:formatCode>
              <c:ptCount val="21"/>
              <c:pt idx="0">
                <c:v>9.6392806327949443E-2</c:v>
              </c:pt>
              <c:pt idx="1">
                <c:v>0.10550309226117904</c:v>
              </c:pt>
              <c:pt idx="2">
                <c:v>0.11452152709985508</c:v>
              </c:pt>
              <c:pt idx="3">
                <c:v>0.12344903689872866</c:v>
              </c:pt>
              <c:pt idx="4">
                <c:v>0.13228653837594528</c:v>
              </c:pt>
              <c:pt idx="5">
                <c:v>0.14103493900717867</c:v>
              </c:pt>
              <c:pt idx="6">
                <c:v>0.14971855091064823</c:v>
              </c:pt>
              <c:pt idx="7">
                <c:v>0.15826802198019152</c:v>
              </c:pt>
              <c:pt idx="8">
                <c:v>0.16675447389492315</c:v>
              </c:pt>
              <c:pt idx="9">
                <c:v>0.17517807701637689</c:v>
              </c:pt>
              <c:pt idx="10">
                <c:v>0.18347155581169339</c:v>
              </c:pt>
              <c:pt idx="11">
                <c:v>0.19170390240130053</c:v>
              </c:pt>
              <c:pt idx="12">
                <c:v>0.19987528204568716</c:v>
              </c:pt>
              <c:pt idx="13">
                <c:v>0.20794224412152706</c:v>
              </c:pt>
              <c:pt idx="14">
                <c:v>0.21590628341292029</c:v>
              </c:pt>
              <c:pt idx="15">
                <c:v>0.22383299177393501</c:v>
              </c:pt>
              <c:pt idx="16">
                <c:v>0.23165840908623359</c:v>
              </c:pt>
              <c:pt idx="17">
                <c:v>0.2393839853763895</c:v>
              </c:pt>
              <c:pt idx="18">
                <c:v>0.24707334851640017</c:v>
              </c:pt>
              <c:pt idx="19">
                <c:v>0.25466445351180167</c:v>
              </c:pt>
              <c:pt idx="20">
                <c:v>0.26217902399359871</c:v>
              </c:pt>
            </c:numLit>
          </c:val>
          <c:smooth val="0"/>
          <c:extLst>
            <c:ext xmlns:c16="http://schemas.microsoft.com/office/drawing/2014/chart" uri="{C3380CC4-5D6E-409C-BE32-E72D297353CC}">
              <c16:uniqueId val="{00000002-50A0-4945-B933-C78FE40BCC4B}"/>
            </c:ext>
          </c:extLst>
        </c:ser>
        <c:dLbls>
          <c:showLegendKey val="0"/>
          <c:showVal val="0"/>
          <c:showCatName val="0"/>
          <c:showSerName val="0"/>
          <c:showPercent val="0"/>
          <c:showBubbleSize val="0"/>
        </c:dLbls>
        <c:smooth val="0"/>
        <c:axId val="268289920"/>
        <c:axId val="268292096"/>
      </c:lineChart>
      <c:catAx>
        <c:axId val="268289920"/>
        <c:scaling>
          <c:orientation val="minMax"/>
        </c:scaling>
        <c:delete val="0"/>
        <c:axPos val="b"/>
        <c:title>
          <c:tx>
            <c:rich>
              <a:bodyPr/>
              <a:lstStyle/>
              <a:p>
                <a:pPr>
                  <a:defRPr/>
                </a:pPr>
                <a:r>
                  <a:rPr lang="en-US"/>
                  <a:t>Winter Correction Factor</a:t>
                </a:r>
              </a:p>
            </c:rich>
          </c:tx>
          <c:layout>
            <c:manualLayout>
              <c:xMode val="edge"/>
              <c:yMode val="edge"/>
              <c:x val="0.31263298337707784"/>
              <c:y val="0.90182852143482062"/>
            </c:manualLayout>
          </c:layout>
          <c:overlay val="0"/>
        </c:title>
        <c:numFmt formatCode="General" sourceLinked="1"/>
        <c:majorTickMark val="out"/>
        <c:minorTickMark val="none"/>
        <c:tickLblPos val="nextTo"/>
        <c:crossAx val="268292096"/>
        <c:crosses val="autoZero"/>
        <c:auto val="1"/>
        <c:lblAlgn val="ctr"/>
        <c:lblOffset val="100"/>
        <c:noMultiLvlLbl val="0"/>
      </c:catAx>
      <c:valAx>
        <c:axId val="268292096"/>
        <c:scaling>
          <c:orientation val="minMax"/>
        </c:scaling>
        <c:delete val="0"/>
        <c:axPos val="l"/>
        <c:majorGridlines/>
        <c:title>
          <c:tx>
            <c:rich>
              <a:bodyPr rot="-5400000" vert="horz"/>
              <a:lstStyle/>
              <a:p>
                <a:pPr>
                  <a:defRPr/>
                </a:pPr>
                <a:r>
                  <a:rPr lang="en-US"/>
                  <a:t>Probability of 1 or More Bird Groups Exposed</a:t>
                </a:r>
              </a:p>
            </c:rich>
          </c:tx>
          <c:overlay val="0"/>
        </c:title>
        <c:numFmt formatCode="General" sourceLinked="1"/>
        <c:majorTickMark val="out"/>
        <c:minorTickMark val="none"/>
        <c:tickLblPos val="nextTo"/>
        <c:crossAx val="268289920"/>
        <c:crosses val="autoZero"/>
        <c:crossBetween val="between"/>
      </c:valAx>
    </c:plotArea>
    <c:legend>
      <c:legendPos val="t"/>
      <c:layout>
        <c:manualLayout>
          <c:xMode val="edge"/>
          <c:yMode val="edge"/>
          <c:x val="0.22532742782152235"/>
          <c:y val="7.801508282539063E-2"/>
          <c:w val="0.42156714785651794"/>
          <c:h val="7.0293152131493772E-2"/>
        </c:manualLayout>
      </c:layout>
      <c:overlay val="1"/>
    </c:legend>
    <c:plotVisOnly val="1"/>
    <c:dispBlanksAs val="gap"/>
    <c:showDLblsOverMax val="0"/>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1"/>
          <c:order val="0"/>
          <c:tx>
            <c:v>Mean</c:v>
          </c:tx>
          <c:marker>
            <c:symbol val="none"/>
          </c:marker>
          <c:cat>
            <c:numLit>
              <c:formatCode>General</c:formatCode>
              <c:ptCount val="36"/>
              <c:pt idx="0">
                <c:v>5</c:v>
              </c:pt>
              <c:pt idx="1">
                <c:v>15</c:v>
              </c:pt>
              <c:pt idx="2">
                <c:v>25</c:v>
              </c:pt>
              <c:pt idx="3">
                <c:v>35</c:v>
              </c:pt>
              <c:pt idx="4">
                <c:v>45</c:v>
              </c:pt>
              <c:pt idx="5">
                <c:v>55</c:v>
              </c:pt>
              <c:pt idx="6">
                <c:v>65</c:v>
              </c:pt>
              <c:pt idx="7">
                <c:v>75</c:v>
              </c:pt>
              <c:pt idx="8">
                <c:v>85</c:v>
              </c:pt>
              <c:pt idx="9">
                <c:v>95</c:v>
              </c:pt>
              <c:pt idx="10">
                <c:v>105</c:v>
              </c:pt>
              <c:pt idx="11">
                <c:v>115</c:v>
              </c:pt>
              <c:pt idx="12">
                <c:v>125</c:v>
              </c:pt>
              <c:pt idx="13">
                <c:v>135</c:v>
              </c:pt>
              <c:pt idx="14">
                <c:v>145</c:v>
              </c:pt>
              <c:pt idx="15">
                <c:v>155</c:v>
              </c:pt>
              <c:pt idx="16">
                <c:v>165</c:v>
              </c:pt>
              <c:pt idx="17">
                <c:v>175</c:v>
              </c:pt>
              <c:pt idx="18">
                <c:v>185</c:v>
              </c:pt>
              <c:pt idx="19">
                <c:v>195</c:v>
              </c:pt>
              <c:pt idx="20">
                <c:v>205</c:v>
              </c:pt>
              <c:pt idx="21">
                <c:v>215</c:v>
              </c:pt>
              <c:pt idx="22">
                <c:v>225</c:v>
              </c:pt>
              <c:pt idx="23">
                <c:v>235</c:v>
              </c:pt>
              <c:pt idx="24">
                <c:v>245</c:v>
              </c:pt>
              <c:pt idx="25">
                <c:v>255</c:v>
              </c:pt>
              <c:pt idx="26">
                <c:v>265</c:v>
              </c:pt>
              <c:pt idx="27">
                <c:v>275</c:v>
              </c:pt>
              <c:pt idx="28">
                <c:v>285</c:v>
              </c:pt>
              <c:pt idx="29">
                <c:v>295</c:v>
              </c:pt>
              <c:pt idx="30">
                <c:v>305</c:v>
              </c:pt>
              <c:pt idx="31">
                <c:v>315</c:v>
              </c:pt>
              <c:pt idx="32">
                <c:v>325</c:v>
              </c:pt>
              <c:pt idx="33">
                <c:v>335</c:v>
              </c:pt>
              <c:pt idx="34">
                <c:v>345</c:v>
              </c:pt>
              <c:pt idx="35">
                <c:v>355</c:v>
              </c:pt>
            </c:numLit>
          </c:cat>
          <c:val>
            <c:numLit>
              <c:formatCode>General</c:formatCode>
              <c:ptCount val="36"/>
              <c:pt idx="0">
                <c:v>1.0503642998382912E-4</c:v>
              </c:pt>
              <c:pt idx="1">
                <c:v>9.4493079172242034E-4</c:v>
              </c:pt>
              <c:pt idx="2">
                <c:v>2.6226036178792489E-3</c:v>
              </c:pt>
              <c:pt idx="3">
                <c:v>5.1338319954230549E-3</c:v>
              </c:pt>
              <c:pt idx="4">
                <c:v>8.4723037066511964E-3</c:v>
              </c:pt>
              <c:pt idx="5">
                <c:v>1.2629643665695856E-2</c:v>
              </c:pt>
              <c:pt idx="6">
                <c:v>1.7595448925532331E-2</c:v>
              </c:pt>
              <c:pt idx="7">
                <c:v>2.3357332050692459E-2</c:v>
              </c:pt>
              <c:pt idx="8">
                <c:v>2.9900972602592168E-2</c:v>
              </c:pt>
              <c:pt idx="9">
                <c:v>3.7210176437989184E-2</c:v>
              </c:pt>
              <c:pt idx="10">
                <c:v>4.5266942476929861E-2</c:v>
              </c:pt>
              <c:pt idx="11">
                <c:v>5.4051536554947877E-2</c:v>
              </c:pt>
              <c:pt idx="12">
                <c:v>6.3542571935539693E-2</c:v>
              </c:pt>
              <c:pt idx="13">
                <c:v>7.3717096023327433E-2</c:v>
              </c:pt>
              <c:pt idx="14">
                <c:v>8.4550682786082132E-2</c:v>
              </c:pt>
              <c:pt idx="15">
                <c:v>9.6017530365120063E-2</c:v>
              </c:pt>
              <c:pt idx="16">
                <c:v>0.1080905633286956</c:v>
              </c:pt>
              <c:pt idx="17">
                <c:v>0.12074153900203199</c:v>
              </c:pt>
              <c:pt idx="18">
                <c:v>0.13394115729067824</c:v>
              </c:pt>
              <c:pt idx="19">
                <c:v>0.14765917340103096</c:v>
              </c:pt>
              <c:pt idx="20">
                <c:v>0.16186451285315895</c:v>
              </c:pt>
              <c:pt idx="21">
                <c:v>0.17652538817651908</c:v>
              </c:pt>
              <c:pt idx="22">
                <c:v>0.19160941667874187</c:v>
              </c:pt>
              <c:pt idx="23">
                <c:v>0.20708373868131047</c:v>
              </c:pt>
              <c:pt idx="24">
                <c:v>0.22291513562359022</c:v>
              </c:pt>
              <c:pt idx="25">
                <c:v>0.2390701474481427</c:v>
              </c:pt>
              <c:pt idx="26">
                <c:v>0.255515188695429</c:v>
              </c:pt>
              <c:pt idx="27">
                <c:v>0.27221666275470147</c:v>
              </c:pt>
              <c:pt idx="28">
                <c:v>0.28914107373986453</c:v>
              </c:pt>
              <c:pt idx="29">
                <c:v>0.30625513548415917</c:v>
              </c:pt>
              <c:pt idx="30">
                <c:v>0.32352587717540371</c:v>
              </c:pt>
              <c:pt idx="31">
                <c:v>0.34092074518396132</c:v>
              </c:pt>
              <c:pt idx="32">
                <c:v>0.35840770066830296</c:v>
              </c:pt>
              <c:pt idx="33">
                <c:v>0.37595531257770209</c:v>
              </c:pt>
              <c:pt idx="34">
                <c:v>0.3935328457079218</c:v>
              </c:pt>
              <c:pt idx="35">
                <c:v>0.41111034350343079</c:v>
              </c:pt>
            </c:numLit>
          </c:val>
          <c:smooth val="0"/>
          <c:extLst>
            <c:ext xmlns:c16="http://schemas.microsoft.com/office/drawing/2014/chart" uri="{C3380CC4-5D6E-409C-BE32-E72D297353CC}">
              <c16:uniqueId val="{00000000-687A-42F8-853E-16C0EEA8AA01}"/>
            </c:ext>
          </c:extLst>
        </c:ser>
        <c:ser>
          <c:idx val="2"/>
          <c:order val="1"/>
          <c:tx>
            <c:v>L95</c:v>
          </c:tx>
          <c:marker>
            <c:symbol val="none"/>
          </c:marker>
          <c:cat>
            <c:numLit>
              <c:formatCode>General</c:formatCode>
              <c:ptCount val="36"/>
              <c:pt idx="0">
                <c:v>5</c:v>
              </c:pt>
              <c:pt idx="1">
                <c:v>15</c:v>
              </c:pt>
              <c:pt idx="2">
                <c:v>25</c:v>
              </c:pt>
              <c:pt idx="3">
                <c:v>35</c:v>
              </c:pt>
              <c:pt idx="4">
                <c:v>45</c:v>
              </c:pt>
              <c:pt idx="5">
                <c:v>55</c:v>
              </c:pt>
              <c:pt idx="6">
                <c:v>65</c:v>
              </c:pt>
              <c:pt idx="7">
                <c:v>75</c:v>
              </c:pt>
              <c:pt idx="8">
                <c:v>85</c:v>
              </c:pt>
              <c:pt idx="9">
                <c:v>95</c:v>
              </c:pt>
              <c:pt idx="10">
                <c:v>105</c:v>
              </c:pt>
              <c:pt idx="11">
                <c:v>115</c:v>
              </c:pt>
              <c:pt idx="12">
                <c:v>125</c:v>
              </c:pt>
              <c:pt idx="13">
                <c:v>135</c:v>
              </c:pt>
              <c:pt idx="14">
                <c:v>145</c:v>
              </c:pt>
              <c:pt idx="15">
                <c:v>155</c:v>
              </c:pt>
              <c:pt idx="16">
                <c:v>165</c:v>
              </c:pt>
              <c:pt idx="17">
                <c:v>175</c:v>
              </c:pt>
              <c:pt idx="18">
                <c:v>185</c:v>
              </c:pt>
              <c:pt idx="19">
                <c:v>195</c:v>
              </c:pt>
              <c:pt idx="20">
                <c:v>205</c:v>
              </c:pt>
              <c:pt idx="21">
                <c:v>215</c:v>
              </c:pt>
              <c:pt idx="22">
                <c:v>225</c:v>
              </c:pt>
              <c:pt idx="23">
                <c:v>235</c:v>
              </c:pt>
              <c:pt idx="24">
                <c:v>245</c:v>
              </c:pt>
              <c:pt idx="25">
                <c:v>255</c:v>
              </c:pt>
              <c:pt idx="26">
                <c:v>265</c:v>
              </c:pt>
              <c:pt idx="27">
                <c:v>275</c:v>
              </c:pt>
              <c:pt idx="28">
                <c:v>285</c:v>
              </c:pt>
              <c:pt idx="29">
                <c:v>295</c:v>
              </c:pt>
              <c:pt idx="30">
                <c:v>305</c:v>
              </c:pt>
              <c:pt idx="31">
                <c:v>315</c:v>
              </c:pt>
              <c:pt idx="32">
                <c:v>325</c:v>
              </c:pt>
              <c:pt idx="33">
                <c:v>335</c:v>
              </c:pt>
              <c:pt idx="34">
                <c:v>345</c:v>
              </c:pt>
              <c:pt idx="35">
                <c:v>355</c:v>
              </c:pt>
            </c:numLit>
          </c:cat>
          <c:val>
            <c:numLit>
              <c:formatCode>General</c:formatCode>
              <c:ptCount val="36"/>
              <c:pt idx="0">
                <c:v>6.4308869287765802E-5</c:v>
              </c:pt>
              <c:pt idx="1">
                <c:v>5.7863096322408047E-4</c:v>
              </c:pt>
              <c:pt idx="2">
                <c:v>1.6064816544799632E-3</c:v>
              </c:pt>
              <c:pt idx="3">
                <c:v>3.1462759898174264E-3</c:v>
              </c:pt>
              <c:pt idx="4">
                <c:v>5.195641632027681E-3</c:v>
              </c:pt>
              <c:pt idx="5">
                <c:v>7.7514249505878929E-3</c:v>
              </c:pt>
              <c:pt idx="6">
                <c:v>1.0809699108435655E-2</c:v>
              </c:pt>
              <c:pt idx="7">
                <c:v>1.4365774115835284E-2</c:v>
              </c:pt>
              <c:pt idx="8">
                <c:v>1.8414208815305977E-2</c:v>
              </c:pt>
              <c:pt idx="9">
                <c:v>2.2948824754740582E-2</c:v>
              </c:pt>
              <c:pt idx="10">
                <c:v>2.7962721899206233E-2</c:v>
              </c:pt>
              <c:pt idx="11">
                <c:v>3.3448296125500931E-2</c:v>
              </c:pt>
              <c:pt idx="12">
                <c:v>3.9397258437383398E-2</c:v>
              </c:pt>
              <c:pt idx="13">
                <c:v>4.5800655833517445E-2</c:v>
              </c:pt>
              <c:pt idx="14">
                <c:v>5.2648893754605797E-2</c:v>
              </c:pt>
              <c:pt idx="15">
                <c:v>5.9931760030957681E-2</c:v>
              </c:pt>
              <c:pt idx="16">
                <c:v>6.7638450246850335E-2</c:v>
              </c:pt>
              <c:pt idx="17">
                <c:v>7.5757594433549902E-2</c:v>
              </c:pt>
              <c:pt idx="18">
                <c:v>8.4277284998739765E-2</c:v>
              </c:pt>
              <c:pt idx="19">
                <c:v>9.3185105796411594E-2</c:v>
              </c:pt>
              <c:pt idx="20">
                <c:v>0.10246816223799171</c:v>
              </c:pt>
              <c:pt idx="21">
                <c:v>0.11211311234263954</c:v>
              </c:pt>
              <c:pt idx="22">
                <c:v>0.12210619862225291</c:v>
              </c:pt>
              <c:pt idx="23">
                <c:v>0.13243328069477012</c:v>
              </c:pt>
              <c:pt idx="24">
                <c:v>0.14307986851786814</c:v>
              </c:pt>
              <c:pt idx="25">
                <c:v>0.15403115613412022</c:v>
              </c:pt>
              <c:pt idx="26">
                <c:v>0.16527205581810112</c:v>
              </c:pt>
              <c:pt idx="27">
                <c:v>0.17678723251580608</c:v>
              </c:pt>
              <c:pt idx="28">
                <c:v>0.18856113846707434</c:v>
              </c:pt>
              <c:pt idx="29">
                <c:v>0.20057804790248213</c:v>
              </c:pt>
              <c:pt idx="30">
                <c:v>0.21282209170736954</c:v>
              </c:pt>
              <c:pt idx="31">
                <c:v>0.22527729194729296</c:v>
              </c:pt>
              <c:pt idx="32">
                <c:v>0.23792759615122538</c:v>
              </c:pt>
              <c:pt idx="33">
                <c:v>0.2507569112512581</c:v>
              </c:pt>
              <c:pt idx="34">
                <c:v>0.26374913708035397</c:v>
              </c:pt>
              <c:pt idx="35">
                <c:v>0.27688819933286679</c:v>
              </c:pt>
            </c:numLit>
          </c:val>
          <c:smooth val="0"/>
          <c:extLst>
            <c:ext xmlns:c16="http://schemas.microsoft.com/office/drawing/2014/chart" uri="{C3380CC4-5D6E-409C-BE32-E72D297353CC}">
              <c16:uniqueId val="{00000001-687A-42F8-853E-16C0EEA8AA01}"/>
            </c:ext>
          </c:extLst>
        </c:ser>
        <c:ser>
          <c:idx val="3"/>
          <c:order val="2"/>
          <c:tx>
            <c:v>U95</c:v>
          </c:tx>
          <c:marker>
            <c:symbol val="none"/>
          </c:marker>
          <c:cat>
            <c:numLit>
              <c:formatCode>General</c:formatCode>
              <c:ptCount val="36"/>
              <c:pt idx="0">
                <c:v>5</c:v>
              </c:pt>
              <c:pt idx="1">
                <c:v>15</c:v>
              </c:pt>
              <c:pt idx="2">
                <c:v>25</c:v>
              </c:pt>
              <c:pt idx="3">
                <c:v>35</c:v>
              </c:pt>
              <c:pt idx="4">
                <c:v>45</c:v>
              </c:pt>
              <c:pt idx="5">
                <c:v>55</c:v>
              </c:pt>
              <c:pt idx="6">
                <c:v>65</c:v>
              </c:pt>
              <c:pt idx="7">
                <c:v>75</c:v>
              </c:pt>
              <c:pt idx="8">
                <c:v>85</c:v>
              </c:pt>
              <c:pt idx="9">
                <c:v>95</c:v>
              </c:pt>
              <c:pt idx="10">
                <c:v>105</c:v>
              </c:pt>
              <c:pt idx="11">
                <c:v>115</c:v>
              </c:pt>
              <c:pt idx="12">
                <c:v>125</c:v>
              </c:pt>
              <c:pt idx="13">
                <c:v>135</c:v>
              </c:pt>
              <c:pt idx="14">
                <c:v>145</c:v>
              </c:pt>
              <c:pt idx="15">
                <c:v>155</c:v>
              </c:pt>
              <c:pt idx="16">
                <c:v>165</c:v>
              </c:pt>
              <c:pt idx="17">
                <c:v>175</c:v>
              </c:pt>
              <c:pt idx="18">
                <c:v>185</c:v>
              </c:pt>
              <c:pt idx="19">
                <c:v>195</c:v>
              </c:pt>
              <c:pt idx="20">
                <c:v>205</c:v>
              </c:pt>
              <c:pt idx="21">
                <c:v>215</c:v>
              </c:pt>
              <c:pt idx="22">
                <c:v>225</c:v>
              </c:pt>
              <c:pt idx="23">
                <c:v>235</c:v>
              </c:pt>
              <c:pt idx="24">
                <c:v>245</c:v>
              </c:pt>
              <c:pt idx="25">
                <c:v>255</c:v>
              </c:pt>
              <c:pt idx="26">
                <c:v>265</c:v>
              </c:pt>
              <c:pt idx="27">
                <c:v>275</c:v>
              </c:pt>
              <c:pt idx="28">
                <c:v>285</c:v>
              </c:pt>
              <c:pt idx="29">
                <c:v>295</c:v>
              </c:pt>
              <c:pt idx="30">
                <c:v>305</c:v>
              </c:pt>
              <c:pt idx="31">
                <c:v>315</c:v>
              </c:pt>
              <c:pt idx="32">
                <c:v>325</c:v>
              </c:pt>
              <c:pt idx="33">
                <c:v>335</c:v>
              </c:pt>
              <c:pt idx="34">
                <c:v>345</c:v>
              </c:pt>
              <c:pt idx="35">
                <c:v>355</c:v>
              </c:pt>
            </c:numLit>
          </c:cat>
          <c:val>
            <c:numLit>
              <c:formatCode>General</c:formatCode>
              <c:ptCount val="36"/>
              <c:pt idx="0">
                <c:v>1.5223517008555731E-4</c:v>
              </c:pt>
              <c:pt idx="1">
                <c:v>1.3692825073730042E-3</c:v>
              </c:pt>
              <c:pt idx="2">
                <c:v>3.7989346959519388E-3</c:v>
              </c:pt>
              <c:pt idx="3">
                <c:v>7.4323337795914046E-3</c:v>
              </c:pt>
              <c:pt idx="4">
                <c:v>1.2256260133436503E-2</c:v>
              </c:pt>
              <c:pt idx="5">
                <c:v>1.8253212594162127E-2</c:v>
              </c:pt>
              <c:pt idx="6">
                <c:v>2.5401514238958978E-2</c:v>
              </c:pt>
              <c:pt idx="7">
                <c:v>3.3675442918652876E-2</c:v>
              </c:pt>
              <c:pt idx="8">
                <c:v>4.3045385444992812E-2</c:v>
              </c:pt>
              <c:pt idx="9">
                <c:v>5.3478014138787722E-2</c:v>
              </c:pt>
              <c:pt idx="10">
                <c:v>6.4936484266161165E-2</c:v>
              </c:pt>
              <c:pt idx="11">
                <c:v>7.7380650726568079E-2</c:v>
              </c:pt>
              <c:pt idx="12">
                <c:v>9.0767302210015277E-2</c:v>
              </c:pt>
              <c:pt idx="13">
                <c:v>0.10505041091356182</c:v>
              </c:pt>
              <c:pt idx="14">
                <c:v>0.1201813957998219</c:v>
              </c:pt>
              <c:pt idx="15">
                <c:v>0.13610939729374849</c:v>
              </c:pt>
              <c:pt idx="16">
                <c:v>0.15278156124910569</c:v>
              </c:pt>
              <c:pt idx="17">
                <c:v>0.17014332997311399</c:v>
              </c:pt>
              <c:pt idx="18">
                <c:v>0.18813873807687786</c:v>
              </c:pt>
              <c:pt idx="19">
                <c:v>0.20671071092023141</c:v>
              </c:pt>
              <c:pt idx="20">
                <c:v>0.22580136344213408</c:v>
              </c:pt>
              <c:pt idx="21">
                <c:v>0.24535229721105256</c:v>
              </c:pt>
              <c:pt idx="22">
                <c:v>0.26530489359296472</c:v>
              </c:pt>
              <c:pt idx="23">
                <c:v>0.28560060101659024</c:v>
              </c:pt>
              <c:pt idx="24">
                <c:v>0.30618121441486856</c:v>
              </c:pt>
              <c:pt idx="25">
                <c:v>0.32698914503705867</c:v>
              </c:pt>
              <c:pt idx="26">
                <c:v>0.34796767895547254</c:v>
              </c:pt>
              <c:pt idx="27">
                <c:v>0.36906122273298914</c:v>
              </c:pt>
              <c:pt idx="28">
                <c:v>0.39021553487024452</c:v>
              </c:pt>
              <c:pt idx="29">
                <c:v>0.41137794181279386</c:v>
              </c:pt>
              <c:pt idx="30">
                <c:v>0.4324975374665988</c:v>
              </c:pt>
              <c:pt idx="31">
                <c:v>0.4535253653428728</c:v>
              </c:pt>
              <c:pt idx="32">
                <c:v>0.47441458262862479</c:v>
              </c:pt>
              <c:pt idx="33">
                <c:v>0.49512060565519533</c:v>
              </c:pt>
              <c:pt idx="34">
                <c:v>0.51560123641175482</c:v>
              </c:pt>
              <c:pt idx="35">
                <c:v>0.53581676992232752</c:v>
              </c:pt>
            </c:numLit>
          </c:val>
          <c:smooth val="0"/>
          <c:extLst>
            <c:ext xmlns:c16="http://schemas.microsoft.com/office/drawing/2014/chart" uri="{C3380CC4-5D6E-409C-BE32-E72D297353CC}">
              <c16:uniqueId val="{00000002-687A-42F8-853E-16C0EEA8AA01}"/>
            </c:ext>
          </c:extLst>
        </c:ser>
        <c:dLbls>
          <c:showLegendKey val="0"/>
          <c:showVal val="0"/>
          <c:showCatName val="0"/>
          <c:showSerName val="0"/>
          <c:showPercent val="0"/>
          <c:showBubbleSize val="0"/>
        </c:dLbls>
        <c:smooth val="0"/>
        <c:axId val="268053504"/>
        <c:axId val="268067968"/>
      </c:lineChart>
      <c:catAx>
        <c:axId val="268053504"/>
        <c:scaling>
          <c:orientation val="minMax"/>
        </c:scaling>
        <c:delete val="0"/>
        <c:axPos val="b"/>
        <c:title>
          <c:tx>
            <c:rich>
              <a:bodyPr/>
              <a:lstStyle/>
              <a:p>
                <a:pPr>
                  <a:defRPr/>
                </a:pPr>
                <a:r>
                  <a:rPr lang="en-US"/>
                  <a:t>Radius of Effect</a:t>
                </a:r>
              </a:p>
            </c:rich>
          </c:tx>
          <c:layout>
            <c:manualLayout>
              <c:xMode val="edge"/>
              <c:yMode val="edge"/>
              <c:x val="0.4959663167104113"/>
              <c:y val="0.93121335039731601"/>
            </c:manualLayout>
          </c:layout>
          <c:overlay val="0"/>
        </c:title>
        <c:numFmt formatCode="General" sourceLinked="1"/>
        <c:majorTickMark val="out"/>
        <c:minorTickMark val="none"/>
        <c:tickLblPos val="nextTo"/>
        <c:crossAx val="268067968"/>
        <c:crosses val="autoZero"/>
        <c:auto val="1"/>
        <c:lblAlgn val="ctr"/>
        <c:lblOffset val="100"/>
        <c:noMultiLvlLbl val="0"/>
      </c:catAx>
      <c:valAx>
        <c:axId val="268067968"/>
        <c:scaling>
          <c:orientation val="minMax"/>
        </c:scaling>
        <c:delete val="0"/>
        <c:axPos val="l"/>
        <c:majorGridlines/>
        <c:title>
          <c:tx>
            <c:rich>
              <a:bodyPr rot="-5400000" vert="horz"/>
              <a:lstStyle/>
              <a:p>
                <a:pPr>
                  <a:defRPr/>
                </a:pPr>
                <a:r>
                  <a:rPr lang="en-US"/>
                  <a:t>Probability of 1 or More Bird Groups Exposed</a:t>
                </a:r>
              </a:p>
            </c:rich>
          </c:tx>
          <c:overlay val="0"/>
        </c:title>
        <c:numFmt formatCode="General" sourceLinked="1"/>
        <c:majorTickMark val="out"/>
        <c:minorTickMark val="none"/>
        <c:tickLblPos val="nextTo"/>
        <c:crossAx val="268053504"/>
        <c:crosses val="autoZero"/>
        <c:crossBetween val="between"/>
      </c:valAx>
    </c:plotArea>
    <c:legend>
      <c:legendPos val="t"/>
      <c:layout>
        <c:manualLayout>
          <c:xMode val="edge"/>
          <c:yMode val="edge"/>
          <c:x val="0.22532742782152235"/>
          <c:y val="7.801508282539063E-2"/>
          <c:w val="0.42156714785651794"/>
          <c:h val="7.0293152131493772E-2"/>
        </c:manualLayout>
      </c:layout>
      <c:overlay val="1"/>
    </c:legend>
    <c:plotVisOnly val="1"/>
    <c:dispBlanksAs val="gap"/>
    <c:showDLblsOverMax val="0"/>
  </c:chart>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1"/>
          <c:order val="0"/>
          <c:tx>
            <c:v>Mean</c:v>
          </c:tx>
          <c:marker>
            <c:symbol val="none"/>
          </c:marker>
          <c:cat>
            <c:numLit>
              <c:formatCode>General</c:formatCode>
              <c:ptCount val="19"/>
              <c:pt idx="0">
                <c:v>0.05</c:v>
              </c:pt>
              <c:pt idx="1">
                <c:v>0.1</c:v>
              </c:pt>
              <c:pt idx="2">
                <c:v>0.15</c:v>
              </c:pt>
              <c:pt idx="3">
                <c:v>0.2</c:v>
              </c:pt>
              <c:pt idx="4">
                <c:v>0.25</c:v>
              </c:pt>
              <c:pt idx="5">
                <c:v>0.3</c:v>
              </c:pt>
              <c:pt idx="6">
                <c:v>0.35</c:v>
              </c:pt>
              <c:pt idx="7">
                <c:v>0.4</c:v>
              </c:pt>
              <c:pt idx="8">
                <c:v>0.45</c:v>
              </c:pt>
              <c:pt idx="9">
                <c:v>0.5</c:v>
              </c:pt>
              <c:pt idx="10">
                <c:v>0.55000000000000004</c:v>
              </c:pt>
              <c:pt idx="11">
                <c:v>0.6</c:v>
              </c:pt>
              <c:pt idx="12">
                <c:v>0.65</c:v>
              </c:pt>
              <c:pt idx="13">
                <c:v>0.7</c:v>
              </c:pt>
              <c:pt idx="14">
                <c:v>0.75</c:v>
              </c:pt>
              <c:pt idx="15">
                <c:v>0.8</c:v>
              </c:pt>
              <c:pt idx="16">
                <c:v>0.85</c:v>
              </c:pt>
              <c:pt idx="17">
                <c:v>0.9</c:v>
              </c:pt>
              <c:pt idx="18">
                <c:v>0.95</c:v>
              </c:pt>
            </c:numLit>
          </c:cat>
          <c:val>
            <c:numLit>
              <c:formatCode>General</c:formatCode>
              <c:ptCount val="19"/>
              <c:pt idx="0">
                <c:v>0.11506631188702399</c:v>
              </c:pt>
              <c:pt idx="1">
                <c:v>0.10935445367406738</c:v>
              </c:pt>
              <c:pt idx="2">
                <c:v>0.1036057279255167</c:v>
              </c:pt>
              <c:pt idx="3">
                <c:v>9.7819896677625251E-2</c:v>
              </c:pt>
              <c:pt idx="4">
                <c:v>9.1996720430694956E-2</c:v>
              </c:pt>
              <c:pt idx="5">
                <c:v>8.6135958139162194E-2</c:v>
              </c:pt>
              <c:pt idx="6">
                <c:v>8.0237367201620557E-2</c:v>
              </c:pt>
              <c:pt idx="7">
                <c:v>7.4300703450777661E-2</c:v>
              </c:pt>
              <c:pt idx="8">
                <c:v>6.8325721143348783E-2</c:v>
              </c:pt>
              <c:pt idx="9">
                <c:v>6.2312172949884115E-2</c:v>
              </c:pt>
              <c:pt idx="10">
                <c:v>5.6259809944531058E-2</c:v>
              </c:pt>
              <c:pt idx="11">
                <c:v>5.0168381594729805E-2</c:v>
              </c:pt>
              <c:pt idx="12">
                <c:v>4.4037635750843074E-2</c:v>
              </c:pt>
              <c:pt idx="13">
                <c:v>3.786731863571835E-2</c:v>
              </c:pt>
              <c:pt idx="14">
                <c:v>3.1657174834183066E-2</c:v>
              </c:pt>
              <c:pt idx="15">
                <c:v>2.5406947282472059E-2</c:v>
              </c:pt>
              <c:pt idx="16">
                <c:v>1.9116377257586303E-2</c:v>
              </c:pt>
              <c:pt idx="17">
                <c:v>1.2785204366583702E-2</c:v>
              </c:pt>
              <c:pt idx="18">
                <c:v>6.4131665357998191E-3</c:v>
              </c:pt>
            </c:numLit>
          </c:val>
          <c:smooth val="0"/>
          <c:extLst>
            <c:ext xmlns:c16="http://schemas.microsoft.com/office/drawing/2014/chart" uri="{C3380CC4-5D6E-409C-BE32-E72D297353CC}">
              <c16:uniqueId val="{00000000-EC63-437C-BCA2-934D79A35A9F}"/>
            </c:ext>
          </c:extLst>
        </c:ser>
        <c:ser>
          <c:idx val="2"/>
          <c:order val="1"/>
          <c:tx>
            <c:v>L95</c:v>
          </c:tx>
          <c:marker>
            <c:symbol val="none"/>
          </c:marker>
          <c:cat>
            <c:numLit>
              <c:formatCode>General</c:formatCode>
              <c:ptCount val="19"/>
              <c:pt idx="0">
                <c:v>0.05</c:v>
              </c:pt>
              <c:pt idx="1">
                <c:v>0.1</c:v>
              </c:pt>
              <c:pt idx="2">
                <c:v>0.15</c:v>
              </c:pt>
              <c:pt idx="3">
                <c:v>0.2</c:v>
              </c:pt>
              <c:pt idx="4">
                <c:v>0.25</c:v>
              </c:pt>
              <c:pt idx="5">
                <c:v>0.3</c:v>
              </c:pt>
              <c:pt idx="6">
                <c:v>0.35</c:v>
              </c:pt>
              <c:pt idx="7">
                <c:v>0.4</c:v>
              </c:pt>
              <c:pt idx="8">
                <c:v>0.45</c:v>
              </c:pt>
              <c:pt idx="9">
                <c:v>0.5</c:v>
              </c:pt>
              <c:pt idx="10">
                <c:v>0.55000000000000004</c:v>
              </c:pt>
              <c:pt idx="11">
                <c:v>0.6</c:v>
              </c:pt>
              <c:pt idx="12">
                <c:v>0.65</c:v>
              </c:pt>
              <c:pt idx="13">
                <c:v>0.7</c:v>
              </c:pt>
              <c:pt idx="14">
                <c:v>0.75</c:v>
              </c:pt>
              <c:pt idx="15">
                <c:v>0.8</c:v>
              </c:pt>
              <c:pt idx="16">
                <c:v>0.85</c:v>
              </c:pt>
              <c:pt idx="17">
                <c:v>0.9</c:v>
              </c:pt>
              <c:pt idx="18">
                <c:v>0.95</c:v>
              </c:pt>
            </c:numLit>
          </c:cat>
          <c:val>
            <c:numLit>
              <c:formatCode>General</c:formatCode>
              <c:ptCount val="19"/>
              <c:pt idx="0">
                <c:v>7.2109782365647135E-2</c:v>
              </c:pt>
              <c:pt idx="1">
                <c:v>6.8447573065154144E-2</c:v>
              </c:pt>
              <c:pt idx="2">
                <c:v>6.4770909708884217E-2</c:v>
              </c:pt>
              <c:pt idx="3">
                <c:v>6.1079735249379929E-2</c:v>
              </c:pt>
              <c:pt idx="4">
                <c:v>5.7373992414028629E-2</c:v>
              </c:pt>
              <c:pt idx="5">
                <c:v>5.3653623704173037E-2</c:v>
              </c:pt>
              <c:pt idx="6">
                <c:v>4.9918571394219624E-2</c:v>
              </c:pt>
              <c:pt idx="7">
                <c:v>4.6168777530742444E-2</c:v>
              </c:pt>
              <c:pt idx="8">
                <c:v>4.2404183931584516E-2</c:v>
              </c:pt>
              <c:pt idx="9">
                <c:v>3.8624732184954658E-2</c:v>
              </c:pt>
              <c:pt idx="10">
                <c:v>3.4830363648521212E-2</c:v>
              </c:pt>
              <c:pt idx="11">
                <c:v>3.1021019448502107E-2</c:v>
              </c:pt>
              <c:pt idx="12">
                <c:v>2.719664047875181E-2</c:v>
              </c:pt>
              <c:pt idx="13">
                <c:v>2.3357167399843393E-2</c:v>
              </c:pt>
              <c:pt idx="14">
                <c:v>1.9502540638148713E-2</c:v>
              </c:pt>
              <c:pt idx="15">
                <c:v>1.5632700384913267E-2</c:v>
              </c:pt>
              <c:pt idx="16">
                <c:v>1.174758659532904E-2</c:v>
              </c:pt>
              <c:pt idx="17">
                <c:v>7.8471389876020314E-3</c:v>
              </c:pt>
              <c:pt idx="18">
                <c:v>3.9312970420173343E-3</c:v>
              </c:pt>
            </c:numLit>
          </c:val>
          <c:smooth val="0"/>
          <c:extLst>
            <c:ext xmlns:c16="http://schemas.microsoft.com/office/drawing/2014/chart" uri="{C3380CC4-5D6E-409C-BE32-E72D297353CC}">
              <c16:uniqueId val="{00000001-EC63-437C-BCA2-934D79A35A9F}"/>
            </c:ext>
          </c:extLst>
        </c:ser>
        <c:ser>
          <c:idx val="3"/>
          <c:order val="2"/>
          <c:tx>
            <c:v>U95</c:v>
          </c:tx>
          <c:marker>
            <c:symbol val="none"/>
          </c:marker>
          <c:cat>
            <c:numLit>
              <c:formatCode>General</c:formatCode>
              <c:ptCount val="19"/>
              <c:pt idx="0">
                <c:v>0.05</c:v>
              </c:pt>
              <c:pt idx="1">
                <c:v>0.1</c:v>
              </c:pt>
              <c:pt idx="2">
                <c:v>0.15</c:v>
              </c:pt>
              <c:pt idx="3">
                <c:v>0.2</c:v>
              </c:pt>
              <c:pt idx="4">
                <c:v>0.25</c:v>
              </c:pt>
              <c:pt idx="5">
                <c:v>0.3</c:v>
              </c:pt>
              <c:pt idx="6">
                <c:v>0.35</c:v>
              </c:pt>
              <c:pt idx="7">
                <c:v>0.4</c:v>
              </c:pt>
              <c:pt idx="8">
                <c:v>0.45</c:v>
              </c:pt>
              <c:pt idx="9">
                <c:v>0.5</c:v>
              </c:pt>
              <c:pt idx="10">
                <c:v>0.55000000000000004</c:v>
              </c:pt>
              <c:pt idx="11">
                <c:v>0.6</c:v>
              </c:pt>
              <c:pt idx="12">
                <c:v>0.65</c:v>
              </c:pt>
              <c:pt idx="13">
                <c:v>0.7</c:v>
              </c:pt>
              <c:pt idx="14">
                <c:v>0.75</c:v>
              </c:pt>
              <c:pt idx="15">
                <c:v>0.8</c:v>
              </c:pt>
              <c:pt idx="16">
                <c:v>0.85</c:v>
              </c:pt>
              <c:pt idx="17">
                <c:v>0.9</c:v>
              </c:pt>
              <c:pt idx="18">
                <c:v>0.95</c:v>
              </c:pt>
            </c:numLit>
          </c:cat>
          <c:val>
            <c:numLit>
              <c:formatCode>General</c:formatCode>
              <c:ptCount val="19"/>
              <c:pt idx="0">
                <c:v>0.16236862827835641</c:v>
              </c:pt>
              <c:pt idx="1">
                <c:v>0.15452108751556992</c:v>
              </c:pt>
              <c:pt idx="2">
                <c:v>0.14660002527531402</c:v>
              </c:pt>
              <c:pt idx="3">
                <c:v>0.13860475275483997</c:v>
              </c:pt>
              <c:pt idx="4">
                <c:v>0.13053457469819307</c:v>
              </c:pt>
              <c:pt idx="5">
                <c:v>0.12238878933575459</c:v>
              </c:pt>
              <c:pt idx="6">
                <c:v>0.11416668832321653</c:v>
              </c:pt>
              <c:pt idx="7">
                <c:v>0.10586755667998582</c:v>
              </c:pt>
              <c:pt idx="8">
                <c:v>9.7490672727010508E-2</c:v>
              </c:pt>
              <c:pt idx="9">
                <c:v>8.9035308024023374E-2</c:v>
              </c:pt>
              <c:pt idx="10">
                <c:v>8.0500727306198394E-2</c:v>
              </c:pt>
              <c:pt idx="11">
                <c:v>7.1886188420213215E-2</c:v>
              </c:pt>
              <c:pt idx="12">
                <c:v>6.3190942259712446E-2</c:v>
              </c:pt>
              <c:pt idx="13">
                <c:v>5.4414232700166876E-2</c:v>
              </c:pt>
              <c:pt idx="14">
                <c:v>4.5555296533121958E-2</c:v>
              </c:pt>
              <c:pt idx="15">
                <c:v>3.6613363399830567E-2</c:v>
              </c:pt>
              <c:pt idx="16">
                <c:v>2.7587655724263693E-2</c:v>
              </c:pt>
              <c:pt idx="17">
                <c:v>1.8477388645493642E-2</c:v>
              </c:pt>
              <c:pt idx="18">
                <c:v>9.2817699494440742E-3</c:v>
              </c:pt>
            </c:numLit>
          </c:val>
          <c:smooth val="0"/>
          <c:extLst>
            <c:ext xmlns:c16="http://schemas.microsoft.com/office/drawing/2014/chart" uri="{C3380CC4-5D6E-409C-BE32-E72D297353CC}">
              <c16:uniqueId val="{00000002-EC63-437C-BCA2-934D79A35A9F}"/>
            </c:ext>
          </c:extLst>
        </c:ser>
        <c:dLbls>
          <c:showLegendKey val="0"/>
          <c:showVal val="0"/>
          <c:showCatName val="0"/>
          <c:showSerName val="0"/>
          <c:showPercent val="0"/>
          <c:showBubbleSize val="0"/>
        </c:dLbls>
        <c:smooth val="0"/>
        <c:axId val="268104064"/>
        <c:axId val="268105984"/>
      </c:lineChart>
      <c:catAx>
        <c:axId val="268104064"/>
        <c:scaling>
          <c:orientation val="minMax"/>
        </c:scaling>
        <c:delete val="0"/>
        <c:axPos val="b"/>
        <c:title>
          <c:tx>
            <c:rich>
              <a:bodyPr/>
              <a:lstStyle/>
              <a:p>
                <a:pPr>
                  <a:defRPr/>
                </a:pPr>
                <a:r>
                  <a:rPr lang="en-US"/>
                  <a:t>Survey Effectiveness</a:t>
                </a:r>
              </a:p>
            </c:rich>
          </c:tx>
          <c:layout>
            <c:manualLayout>
              <c:xMode val="edge"/>
              <c:yMode val="edge"/>
              <c:x val="0.4959663167104113"/>
              <c:y val="0.93121335039731601"/>
            </c:manualLayout>
          </c:layout>
          <c:overlay val="0"/>
        </c:title>
        <c:numFmt formatCode="General" sourceLinked="1"/>
        <c:majorTickMark val="out"/>
        <c:minorTickMark val="none"/>
        <c:tickLblPos val="nextTo"/>
        <c:crossAx val="268105984"/>
        <c:crosses val="autoZero"/>
        <c:auto val="1"/>
        <c:lblAlgn val="ctr"/>
        <c:lblOffset val="100"/>
        <c:noMultiLvlLbl val="0"/>
      </c:catAx>
      <c:valAx>
        <c:axId val="268105984"/>
        <c:scaling>
          <c:orientation val="minMax"/>
        </c:scaling>
        <c:delete val="0"/>
        <c:axPos val="l"/>
        <c:majorGridlines/>
        <c:title>
          <c:tx>
            <c:rich>
              <a:bodyPr rot="-5400000" vert="horz"/>
              <a:lstStyle/>
              <a:p>
                <a:pPr>
                  <a:defRPr/>
                </a:pPr>
                <a:r>
                  <a:rPr lang="en-US"/>
                  <a:t>Probability of 1 or More Bird Groups Exposed</a:t>
                </a:r>
              </a:p>
            </c:rich>
          </c:tx>
          <c:overlay val="0"/>
        </c:title>
        <c:numFmt formatCode="General" sourceLinked="1"/>
        <c:majorTickMark val="out"/>
        <c:minorTickMark val="none"/>
        <c:tickLblPos val="nextTo"/>
        <c:crossAx val="268104064"/>
        <c:crosses val="autoZero"/>
        <c:crossBetween val="between"/>
      </c:valAx>
    </c:plotArea>
    <c:legend>
      <c:legendPos val="t"/>
      <c:layout>
        <c:manualLayout>
          <c:xMode val="edge"/>
          <c:yMode val="edge"/>
          <c:x val="0.22532742782152235"/>
          <c:y val="7.801508282539063E-2"/>
          <c:w val="0.42156714785651794"/>
          <c:h val="7.0293152131493772E-2"/>
        </c:manualLayout>
      </c:layout>
      <c:overlay val="1"/>
    </c:legend>
    <c:plotVisOnly val="1"/>
    <c:dispBlanksAs val="gap"/>
    <c:showDLblsOverMax val="0"/>
  </c:chart>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1"/>
          <c:order val="0"/>
          <c:tx>
            <c:v>Mean</c:v>
          </c:tx>
          <c:marker>
            <c:symbol val="none"/>
          </c:marker>
          <c:cat>
            <c:numLit>
              <c:formatCode>General</c:formatCode>
              <c:ptCount val="23"/>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numLit>
          </c:cat>
          <c:val>
            <c:numLit>
              <c:formatCode>General</c:formatCode>
              <c:ptCount val="23"/>
              <c:pt idx="0">
                <c:v>0.12074153900203199</c:v>
              </c:pt>
              <c:pt idx="1">
                <c:v>0.22690455876348481</c:v>
              </c:pt>
              <c:pt idx="2">
                <c:v>0.32024929213383668</c:v>
              </c:pt>
              <c:pt idx="3">
                <c:v>0.40232343873931786</c:v>
              </c:pt>
              <c:pt idx="4">
                <c:v>0.47448782657137489</c:v>
              </c:pt>
              <c:pt idx="5">
                <c:v>0.53793897515544986</c:v>
              </c:pt>
              <c:pt idx="6">
                <c:v>0.59372893440803698</c:v>
              </c:pt>
              <c:pt idx="7">
                <c:v>0.64278272811960613</c:v>
              </c:pt>
              <c:pt idx="8">
                <c:v>0.68591369128455204</c:v>
              </c:pt>
              <c:pt idx="9">
                <c:v>0.72383695557832262</c:v>
              </c:pt>
              <c:pt idx="10">
                <c:v>0.75718130657728255</c:v>
              </c:pt>
              <c:pt idx="11">
                <c:v>0.78649960931960394</c:v>
              </c:pt>
              <c:pt idx="12">
                <c:v>0.81227797506789012</c:v>
              </c:pt>
              <c:pt idx="13">
                <c:v>0.83494382126277089</c:v>
              </c:pt>
              <c:pt idx="14">
                <c:v>0.85487295830529841</c:v>
              </c:pt>
              <c:pt idx="15">
                <c:v>0.87239582067032873</c:v>
              </c:pt>
              <c:pt idx="16">
                <c:v>0.88780294566568452</c:v>
              </c:pt>
              <c:pt idx="17">
                <c:v>0.90134979067750431</c:v>
              </c:pt>
              <c:pt idx="18">
                <c:v>0.91326096877397511</c:v>
              </c:pt>
              <c:pt idx="19">
                <c:v>0.92373397289575065</c:v>
              </c:pt>
              <c:pt idx="20">
                <c:v>0.93294245038188839</c:v>
              </c:pt>
              <c:pt idx="21">
                <c:v>0.94103908212448428</c:v>
              </c:pt>
              <c:pt idx="22">
                <c:v>0.94815811408974648</c:v>
              </c:pt>
            </c:numLit>
          </c:val>
          <c:smooth val="0"/>
          <c:extLst>
            <c:ext xmlns:c16="http://schemas.microsoft.com/office/drawing/2014/chart" uri="{C3380CC4-5D6E-409C-BE32-E72D297353CC}">
              <c16:uniqueId val="{00000000-2BE8-4CF9-8999-9D5938736BCF}"/>
            </c:ext>
          </c:extLst>
        </c:ser>
        <c:ser>
          <c:idx val="2"/>
          <c:order val="1"/>
          <c:tx>
            <c:v>L95</c:v>
          </c:tx>
          <c:marker>
            <c:symbol val="none"/>
          </c:marker>
          <c:cat>
            <c:numLit>
              <c:formatCode>General</c:formatCode>
              <c:ptCount val="23"/>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numLit>
          </c:cat>
          <c:val>
            <c:numLit>
              <c:formatCode>General</c:formatCode>
              <c:ptCount val="23"/>
              <c:pt idx="0">
                <c:v>7.5757594433549902E-2</c:v>
              </c:pt>
              <c:pt idx="1">
                <c:v>0.14577597575274159</c:v>
              </c:pt>
              <c:pt idx="2">
                <c:v>0.21048993293706031</c:v>
              </c:pt>
              <c:pt idx="3">
                <c:v>0.27030131639881927</c:v>
              </c:pt>
              <c:pt idx="4">
                <c:v>0.3255815333297728</c:v>
              </c:pt>
              <c:pt idx="5">
                <c:v>0.3766738540062724</c:v>
              </c:pt>
              <c:pt idx="6">
                <c:v>0.42389554337429303</c:v>
              </c:pt>
              <c:pt idx="7">
                <c:v>0.46753983115070397</c:v>
              </c:pt>
              <c:pt idx="8">
                <c:v>0.50787773267440839</c:v>
              </c:pt>
              <c:pt idx="9">
                <c:v>0.54515973181417965</c:v>
              </c:pt>
              <c:pt idx="10">
                <c:v>0.57961733638344803</c:v>
              </c:pt>
              <c:pt idx="11">
                <c:v>0.61146451572060623</c:v>
              </c:pt>
              <c:pt idx="12">
                <c:v>0.64089902936168752</c:v>
              </c:pt>
              <c:pt idx="13">
                <c:v>0.66810365505599889</c:v>
              </c:pt>
              <c:pt idx="14">
                <c:v>0.69324732375024412</c:v>
              </c:pt>
              <c:pt idx="15">
                <c:v>0.71648616858897918</c:v>
              </c:pt>
              <c:pt idx="16">
                <c:v>0.7379644944453172</c:v>
              </c:pt>
              <c:pt idx="17">
                <c:v>0.75781567400231897</c:v>
              </c:pt>
              <c:pt idx="18">
                <c:v>0.77616297594941397</c:v>
              </c:pt>
              <c:pt idx="19">
                <c:v>0.79312033043665098</c:v>
              </c:pt>
              <c:pt idx="20">
                <c:v>0.80879303653997803</c:v>
              </c:pt>
              <c:pt idx="21">
                <c:v>0.823278416130653</c:v>
              </c:pt>
              <c:pt idx="22">
                <c:v>0.8366664182090815</c:v>
              </c:pt>
            </c:numLit>
          </c:val>
          <c:smooth val="0"/>
          <c:extLst>
            <c:ext xmlns:c16="http://schemas.microsoft.com/office/drawing/2014/chart" uri="{C3380CC4-5D6E-409C-BE32-E72D297353CC}">
              <c16:uniqueId val="{00000001-2BE8-4CF9-8999-9D5938736BCF}"/>
            </c:ext>
          </c:extLst>
        </c:ser>
        <c:ser>
          <c:idx val="3"/>
          <c:order val="2"/>
          <c:tx>
            <c:v>U95</c:v>
          </c:tx>
          <c:marker>
            <c:symbol val="none"/>
          </c:marker>
          <c:cat>
            <c:numLit>
              <c:formatCode>General</c:formatCode>
              <c:ptCount val="23"/>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numLit>
          </c:cat>
          <c:val>
            <c:numLit>
              <c:formatCode>General</c:formatCode>
              <c:ptCount val="23"/>
              <c:pt idx="0">
                <c:v>0.17014332997311399</c:v>
              </c:pt>
              <c:pt idx="1">
                <c:v>0.31133790721188803</c:v>
              </c:pt>
              <c:pt idx="2">
                <c:v>0.42850916890511104</c:v>
              </c:pt>
              <c:pt idx="3">
                <c:v>0.52574452195669785</c:v>
              </c:pt>
              <c:pt idx="4">
                <c:v>0.60643592824897641</c:v>
              </c:pt>
              <c:pt idx="5">
                <c:v>0.67339822997447307</c:v>
              </c:pt>
              <c:pt idx="6">
                <c:v>0.72896734270172936</c:v>
              </c:pt>
              <c:pt idx="7">
                <c:v>0.77508174154591902</c:v>
              </c:pt>
              <c:pt idx="8">
                <c:v>0.81335008301104983</c:v>
              </c:pt>
              <c:pt idx="9">
                <c:v>0.84510732142675504</c:v>
              </c:pt>
              <c:pt idx="10">
                <c:v>0.87146127754766223</c:v>
              </c:pt>
              <c:pt idx="11">
                <c:v>0.89333128381619287</c:v>
              </c:pt>
              <c:pt idx="12">
                <c:v>0.9114802543916628</c:v>
              </c:pt>
              <c:pt idx="13">
                <c:v>0.92654129867783819</c:v>
              </c:pt>
              <c:pt idx="14">
                <c:v>0.93903980673629117</c:v>
              </c:pt>
              <c:pt idx="15">
                <c:v>0.94941177701398316</c:v>
              </c:pt>
              <c:pt idx="16">
                <c:v>0.95801902573024655</c:v>
              </c:pt>
              <c:pt idx="17">
                <c:v>0.96516180848801802</c:v>
              </c:pt>
              <c:pt idx="18">
                <c:v>0.97108929440210767</c:v>
              </c:pt>
              <c:pt idx="19">
                <c:v>0.97600825812440539</c:v>
              </c:pt>
              <c:pt idx="20">
                <c:v>0.98009029297897454</c:v>
              </c:pt>
              <c:pt idx="21">
                <c:v>0.98347779683032088</c:v>
              </c:pt>
              <c:pt idx="22">
                <c:v>0.98628893949610241</c:v>
              </c:pt>
            </c:numLit>
          </c:val>
          <c:smooth val="0"/>
          <c:extLst>
            <c:ext xmlns:c16="http://schemas.microsoft.com/office/drawing/2014/chart" uri="{C3380CC4-5D6E-409C-BE32-E72D297353CC}">
              <c16:uniqueId val="{00000002-2BE8-4CF9-8999-9D5938736BCF}"/>
            </c:ext>
          </c:extLst>
        </c:ser>
        <c:dLbls>
          <c:showLegendKey val="0"/>
          <c:showVal val="0"/>
          <c:showCatName val="0"/>
          <c:showSerName val="0"/>
          <c:showPercent val="0"/>
          <c:showBubbleSize val="0"/>
        </c:dLbls>
        <c:smooth val="0"/>
        <c:axId val="268130560"/>
        <c:axId val="268140928"/>
      </c:lineChart>
      <c:catAx>
        <c:axId val="268130560"/>
        <c:scaling>
          <c:orientation val="minMax"/>
        </c:scaling>
        <c:delete val="0"/>
        <c:axPos val="b"/>
        <c:title>
          <c:tx>
            <c:rich>
              <a:bodyPr/>
              <a:lstStyle/>
              <a:p>
                <a:pPr>
                  <a:defRPr/>
                </a:pPr>
                <a:r>
                  <a:rPr lang="en-US"/>
                  <a:t>Survey Effectiveness</a:t>
                </a:r>
              </a:p>
            </c:rich>
          </c:tx>
          <c:layout>
            <c:manualLayout>
              <c:xMode val="edge"/>
              <c:yMode val="edge"/>
              <c:x val="0.4959663167104113"/>
              <c:y val="0.93121335039731601"/>
            </c:manualLayout>
          </c:layout>
          <c:overlay val="0"/>
        </c:title>
        <c:numFmt formatCode="General" sourceLinked="1"/>
        <c:majorTickMark val="out"/>
        <c:minorTickMark val="none"/>
        <c:tickLblPos val="nextTo"/>
        <c:crossAx val="268140928"/>
        <c:crosses val="autoZero"/>
        <c:auto val="1"/>
        <c:lblAlgn val="ctr"/>
        <c:lblOffset val="100"/>
        <c:noMultiLvlLbl val="0"/>
      </c:catAx>
      <c:valAx>
        <c:axId val="268140928"/>
        <c:scaling>
          <c:orientation val="minMax"/>
        </c:scaling>
        <c:delete val="0"/>
        <c:axPos val="l"/>
        <c:majorGridlines/>
        <c:title>
          <c:tx>
            <c:rich>
              <a:bodyPr rot="-5400000" vert="horz"/>
              <a:lstStyle/>
              <a:p>
                <a:pPr>
                  <a:defRPr/>
                </a:pPr>
                <a:r>
                  <a:rPr lang="en-US"/>
                  <a:t>Probability of 1 or More Bird Groups Exposed</a:t>
                </a:r>
              </a:p>
            </c:rich>
          </c:tx>
          <c:overlay val="0"/>
        </c:title>
        <c:numFmt formatCode="General" sourceLinked="1"/>
        <c:majorTickMark val="out"/>
        <c:minorTickMark val="none"/>
        <c:tickLblPos val="nextTo"/>
        <c:crossAx val="268130560"/>
        <c:crosses val="autoZero"/>
        <c:crossBetween val="between"/>
      </c:valAx>
    </c:plotArea>
    <c:legend>
      <c:legendPos val="t"/>
      <c:layout>
        <c:manualLayout>
          <c:xMode val="edge"/>
          <c:yMode val="edge"/>
          <c:x val="0.22532742782152235"/>
          <c:y val="7.801508282539063E-2"/>
          <c:w val="0.42156714785651794"/>
          <c:h val="7.0293152131493772E-2"/>
        </c:manualLayout>
      </c:layout>
      <c:overlay val="1"/>
    </c:legend>
    <c:plotVisOnly val="1"/>
    <c:dispBlanksAs val="gap"/>
    <c:showDLblsOverMax val="0"/>
  </c:chart>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8624938831798547E-2"/>
          <c:y val="0.23219551654403855"/>
          <c:w val="0.83667661610909272"/>
          <c:h val="0.71485805257949309"/>
        </c:manualLayout>
      </c:layout>
      <c:scatterChart>
        <c:scatterStyle val="smoothMarker"/>
        <c:varyColors val="0"/>
        <c:ser>
          <c:idx val="1"/>
          <c:order val="0"/>
          <c:tx>
            <c:v># in forage group (1.73)</c:v>
          </c:tx>
          <c:xVal>
            <c:numLit>
              <c:formatCode>General</c:formatCode>
              <c:ptCount val="16"/>
              <c:pt idx="0">
                <c:v>-0.42196531791907516</c:v>
              </c:pt>
              <c:pt idx="1">
                <c:v>-0.36416184971098259</c:v>
              </c:pt>
              <c:pt idx="2">
                <c:v>-0.30635838150289019</c:v>
              </c:pt>
              <c:pt idx="3">
                <c:v>-0.24855491329479765</c:v>
              </c:pt>
              <c:pt idx="4">
                <c:v>-0.19075144508670525</c:v>
              </c:pt>
              <c:pt idx="5">
                <c:v>-0.13294797687861271</c:v>
              </c:pt>
              <c:pt idx="6">
                <c:v>-7.5144508670520166E-2</c:v>
              </c:pt>
              <c:pt idx="7">
                <c:v>-1.7341040462427761E-2</c:v>
              </c:pt>
              <c:pt idx="8">
                <c:v>4.0462427745664775E-2</c:v>
              </c:pt>
              <c:pt idx="9">
                <c:v>9.826589595375719E-2</c:v>
              </c:pt>
              <c:pt idx="10">
                <c:v>0.15606936416184972</c:v>
              </c:pt>
              <c:pt idx="11">
                <c:v>0.21387283236994226</c:v>
              </c:pt>
              <c:pt idx="12">
                <c:v>0.27167630057803482</c:v>
              </c:pt>
              <c:pt idx="13">
                <c:v>0.32947976878612706</c:v>
              </c:pt>
              <c:pt idx="14">
                <c:v>0.38728323699421963</c:v>
              </c:pt>
              <c:pt idx="15">
                <c:v>0.44508670520231214</c:v>
              </c:pt>
            </c:numLit>
          </c:xVal>
          <c:yVal>
            <c:numLit>
              <c:formatCode>General</c:formatCode>
              <c:ptCount val="16"/>
              <c:pt idx="0">
                <c:v>0.65341151391361074</c:v>
              </c:pt>
              <c:pt idx="1">
                <c:v>0.51801320537753726</c:v>
              </c:pt>
              <c:pt idx="2">
                <c:v>0.40281925684814029</c:v>
              </c:pt>
              <c:pt idx="3">
                <c:v>0.30395024948684779</c:v>
              </c:pt>
              <c:pt idx="4">
                <c:v>0.21807567712693032</c:v>
              </c:pt>
              <c:pt idx="5">
                <c:v>0.14275770894739379</c:v>
              </c:pt>
              <c:pt idx="6">
                <c:v>7.6171480540732042E-2</c:v>
              </c:pt>
              <c:pt idx="7">
                <c:v>1.6974227511663598E-2</c:v>
              </c:pt>
              <c:pt idx="8">
                <c:v>-3.6053524859679505E-2</c:v>
              </c:pt>
              <c:pt idx="9">
                <c:v>-8.3987465194145183E-2</c:v>
              </c:pt>
              <c:pt idx="10">
                <c:v>-0.12733505637715897</c:v>
              </c:pt>
              <c:pt idx="11">
                <c:v>-0.16662741807082573</c:v>
              </c:pt>
              <c:pt idx="12">
                <c:v>-0.20262218006175794</c:v>
              </c:pt>
              <c:pt idx="13">
                <c:v>-0.23568381066475047</c:v>
              </c:pt>
              <c:pt idx="14">
                <c:v>-0.26597991439060825</c:v>
              </c:pt>
              <c:pt idx="15">
                <c:v>-0.29410202161978877</c:v>
              </c:pt>
            </c:numLit>
          </c:yVal>
          <c:smooth val="1"/>
          <c:extLst>
            <c:ext xmlns:c16="http://schemas.microsoft.com/office/drawing/2014/chart" uri="{C3380CC4-5D6E-409C-BE32-E72D297353CC}">
              <c16:uniqueId val="{00000000-5821-4D3A-B197-272D6B1A1213}"/>
            </c:ext>
          </c:extLst>
        </c:ser>
        <c:ser>
          <c:idx val="0"/>
          <c:order val="1"/>
          <c:tx>
            <c:v>Summer Density</c:v>
          </c:tx>
          <c:xVal>
            <c:numLit>
              <c:formatCode>General</c:formatCode>
              <c:ptCount val="26"/>
              <c:pt idx="0">
                <c:v>-0.94309128158433875</c:v>
              </c:pt>
              <c:pt idx="1">
                <c:v>-0.8861825631686775</c:v>
              </c:pt>
              <c:pt idx="2">
                <c:v>-0.82927384475301613</c:v>
              </c:pt>
              <c:pt idx="3">
                <c:v>-0.77236512633735488</c:v>
              </c:pt>
              <c:pt idx="4">
                <c:v>-0.71545640792169363</c:v>
              </c:pt>
              <c:pt idx="5">
                <c:v>-0.65854768950603237</c:v>
              </c:pt>
              <c:pt idx="6">
                <c:v>-0.60163897109037101</c:v>
              </c:pt>
              <c:pt idx="7">
                <c:v>-0.54473025267470976</c:v>
              </c:pt>
              <c:pt idx="8">
                <c:v>-0.48782153425904851</c:v>
              </c:pt>
              <c:pt idx="9">
                <c:v>-0.4309128158433872</c:v>
              </c:pt>
              <c:pt idx="10">
                <c:v>-0.37400409742772595</c:v>
              </c:pt>
              <c:pt idx="11">
                <c:v>-0.31709537901206464</c:v>
              </c:pt>
              <c:pt idx="12">
                <c:v>-0.26018666059640339</c:v>
              </c:pt>
              <c:pt idx="13">
                <c:v>-0.20327794218074208</c:v>
              </c:pt>
              <c:pt idx="14">
                <c:v>-0.1463692237650808</c:v>
              </c:pt>
              <c:pt idx="15">
                <c:v>-8.9460505349419531E-2</c:v>
              </c:pt>
              <c:pt idx="16">
                <c:v>-3.255178693375825E-2</c:v>
              </c:pt>
              <c:pt idx="17">
                <c:v>2.4356931481903026E-2</c:v>
              </c:pt>
              <c:pt idx="18">
                <c:v>8.126564989756431E-2</c:v>
              </c:pt>
              <c:pt idx="19">
                <c:v>0.13817436831322558</c:v>
              </c:pt>
              <c:pt idx="20">
                <c:v>0.19508308672888686</c:v>
              </c:pt>
              <c:pt idx="21">
                <c:v>0.25199180514454816</c:v>
              </c:pt>
              <c:pt idx="22">
                <c:v>0.30890052356020942</c:v>
              </c:pt>
              <c:pt idx="23">
                <c:v>0.36580924197587072</c:v>
              </c:pt>
              <c:pt idx="24">
                <c:v>0.42271796039153198</c:v>
              </c:pt>
              <c:pt idx="25">
                <c:v>0.47962667880719329</c:v>
              </c:pt>
            </c:numLit>
          </c:xVal>
          <c:yVal>
            <c:numLit>
              <c:formatCode>General</c:formatCode>
              <c:ptCount val="26"/>
              <c:pt idx="0">
                <c:v>-0.93953725124134946</c:v>
              </c:pt>
              <c:pt idx="1">
                <c:v>-0.87951575078198418</c:v>
              </c:pt>
              <c:pt idx="2">
                <c:v>-0.81993227845633831</c:v>
              </c:pt>
              <c:pt idx="3">
                <c:v>-0.76078363759914136</c:v>
              </c:pt>
              <c:pt idx="4">
                <c:v>-0.70206665487391973</c:v>
              </c:pt>
              <c:pt idx="5">
                <c:v>-0.6437781801027459</c:v>
              </c:pt>
              <c:pt idx="6">
                <c:v>-0.58591508609723031</c:v>
              </c:pt>
              <c:pt idx="7">
                <c:v>-0.52847426849074641</c:v>
              </c:pt>
              <c:pt idx="8">
                <c:v>-0.47145264557187949</c:v>
              </c:pt>
              <c:pt idx="9">
                <c:v>-0.41505918522577223</c:v>
              </c:pt>
              <c:pt idx="10">
                <c:v>-0.35886524900047206</c:v>
              </c:pt>
              <c:pt idx="11">
                <c:v>-0.3030814079047961</c:v>
              </c:pt>
              <c:pt idx="12">
                <c:v>-0.24770466912445277</c:v>
              </c:pt>
              <c:pt idx="13">
                <c:v>-0.19273206168627471</c:v>
              </c:pt>
              <c:pt idx="14">
                <c:v>-0.13816063629881939</c:v>
              </c:pt>
              <c:pt idx="15">
                <c:v>-8.3987465194145183E-2</c:v>
              </c:pt>
              <c:pt idx="16">
                <c:v>-3.0209641970730231E-2</c:v>
              </c:pt>
              <c:pt idx="17">
                <c:v>2.317571856245387E-2</c:v>
              </c:pt>
              <c:pt idx="18">
                <c:v>7.6171480540732042E-2</c:v>
              </c:pt>
              <c:pt idx="19">
                <c:v>0.12858342970405498</c:v>
              </c:pt>
              <c:pt idx="20">
                <c:v>0.18080994161964634</c:v>
              </c:pt>
              <c:pt idx="21">
                <c:v>0.23265531208809095</c:v>
              </c:pt>
              <c:pt idx="22">
                <c:v>0.28412232262393711</c:v>
              </c:pt>
              <c:pt idx="23">
                <c:v>0.33521373444264713</c:v>
              </c:pt>
              <c:pt idx="24">
                <c:v>0.38593228860873802</c:v>
              </c:pt>
              <c:pt idx="25">
                <c:v>0.43628070618283599</c:v>
              </c:pt>
            </c:numLit>
          </c:yVal>
          <c:smooth val="1"/>
          <c:extLst>
            <c:ext xmlns:c16="http://schemas.microsoft.com/office/drawing/2014/chart" uri="{C3380CC4-5D6E-409C-BE32-E72D297353CC}">
              <c16:uniqueId val="{00000001-5821-4D3A-B197-272D6B1A1213}"/>
            </c:ext>
          </c:extLst>
        </c:ser>
        <c:ser>
          <c:idx val="2"/>
          <c:order val="2"/>
          <c:tx>
            <c:v>Winter Correction Factor (1.83)</c:v>
          </c:tx>
          <c:xVal>
            <c:numLit>
              <c:formatCode>General</c:formatCode>
              <c:ptCount val="21"/>
              <c:pt idx="0">
                <c:v>-0.45652173913043481</c:v>
              </c:pt>
              <c:pt idx="1">
                <c:v>-0.40217391304347822</c:v>
              </c:pt>
              <c:pt idx="2">
                <c:v>-0.34782608695652178</c:v>
              </c:pt>
              <c:pt idx="3">
                <c:v>-0.29347826086956524</c:v>
              </c:pt>
              <c:pt idx="4">
                <c:v>-0.23913043478260879</c:v>
              </c:pt>
              <c:pt idx="5">
                <c:v>-0.18478260869565222</c:v>
              </c:pt>
              <c:pt idx="6">
                <c:v>-0.13043478260869565</c:v>
              </c:pt>
              <c:pt idx="7">
                <c:v>-7.6086956521739191E-2</c:v>
              </c:pt>
              <c:pt idx="8">
                <c:v>-2.1739130434782625E-2</c:v>
              </c:pt>
              <c:pt idx="9">
                <c:v>3.2608695652173822E-2</c:v>
              </c:pt>
              <c:pt idx="10">
                <c:v>8.6956521739130391E-2</c:v>
              </c:pt>
              <c:pt idx="11">
                <c:v>0.14130434782608695</c:v>
              </c:pt>
              <c:pt idx="12">
                <c:v>0.19565217391304351</c:v>
              </c:pt>
              <c:pt idx="13">
                <c:v>0.24999999999999986</c:v>
              </c:pt>
              <c:pt idx="14">
                <c:v>0.30434782608695643</c:v>
              </c:pt>
              <c:pt idx="15">
                <c:v>0.35869565217391297</c:v>
              </c:pt>
              <c:pt idx="16">
                <c:v>0.41304347826086957</c:v>
              </c:pt>
              <c:pt idx="17">
                <c:v>0.46739130434782611</c:v>
              </c:pt>
              <c:pt idx="18">
                <c:v>0.52173913043478248</c:v>
              </c:pt>
              <c:pt idx="19">
                <c:v>0.57608695652173902</c:v>
              </c:pt>
              <c:pt idx="20">
                <c:v>0.63043478260869557</c:v>
              </c:pt>
            </c:numLit>
          </c:xVal>
          <c:yVal>
            <c:numLit>
              <c:formatCode>General</c:formatCode>
              <c:ptCount val="21"/>
              <c:pt idx="0">
                <c:v>-0.4403321429160541</c:v>
              </c:pt>
              <c:pt idx="1">
                <c:v>-0.38648826909335104</c:v>
              </c:pt>
              <c:pt idx="2">
                <c:v>-0.33301967508257169</c:v>
              </c:pt>
              <c:pt idx="3">
                <c:v>-0.27992374526698427</c:v>
              </c:pt>
              <c:pt idx="4">
                <c:v>-0.2271978822601238</c:v>
              </c:pt>
              <c:pt idx="5">
                <c:v>-0.17483950677873178</c:v>
              </c:pt>
              <c:pt idx="6">
                <c:v>-0.12284605751657714</c:v>
              </c:pt>
              <c:pt idx="7">
                <c:v>-7.1214991019165619E-2</c:v>
              </c:pt>
              <c:pt idx="8">
                <c:v>-1.9943781559313895E-2</c:v>
              </c:pt>
              <c:pt idx="9">
                <c:v>3.0770328134844847E-2</c:v>
              </c:pt>
              <c:pt idx="10">
                <c:v>8.1330722627759353E-2</c:v>
              </c:pt>
              <c:pt idx="11">
                <c:v>0.13153872242859646</c:v>
              </c:pt>
              <c:pt idx="12">
                <c:v>0.18139678364989589</c:v>
              </c:pt>
              <c:pt idx="13">
                <c:v>0.23090734528564186</c:v>
              </c:pt>
              <c:pt idx="14">
                <c:v>0.28007282933057298</c:v>
              </c:pt>
              <c:pt idx="15">
                <c:v>0.32889564089866435</c:v>
              </c:pt>
              <c:pt idx="16">
                <c:v>0.37737816834078064</c:v>
              </c:pt>
              <c:pt idx="17">
                <c:v>0.42552278336151478</c:v>
              </c:pt>
              <c:pt idx="18">
                <c:v>0.47333184113520638</c:v>
              </c:pt>
              <c:pt idx="19">
                <c:v>0.52080768042115211</c:v>
              </c:pt>
              <c:pt idx="20">
                <c:v>0.56776765945685281</c:v>
              </c:pt>
            </c:numLit>
          </c:yVal>
          <c:smooth val="1"/>
          <c:extLst>
            <c:ext xmlns:c16="http://schemas.microsoft.com/office/drawing/2014/chart" uri="{C3380CC4-5D6E-409C-BE32-E72D297353CC}">
              <c16:uniqueId val="{00000002-5821-4D3A-B197-272D6B1A1213}"/>
            </c:ext>
          </c:extLst>
        </c:ser>
        <c:ser>
          <c:idx val="3"/>
          <c:order val="3"/>
          <c:tx>
            <c:v>Radius of Effect (175m)</c:v>
          </c:tx>
          <c:xVal>
            <c:numLit>
              <c:formatCode>General</c:formatCode>
              <c:ptCount val="35"/>
              <c:pt idx="0">
                <c:v>-0.97142857142857142</c:v>
              </c:pt>
              <c:pt idx="1">
                <c:v>-0.91428571428571426</c:v>
              </c:pt>
              <c:pt idx="2">
                <c:v>-0.8571428571428571</c:v>
              </c:pt>
              <c:pt idx="3">
                <c:v>-0.8</c:v>
              </c:pt>
              <c:pt idx="4">
                <c:v>-0.74285714285714288</c:v>
              </c:pt>
              <c:pt idx="5">
                <c:v>-0.68571428571428572</c:v>
              </c:pt>
              <c:pt idx="6">
                <c:v>-0.62857142857142856</c:v>
              </c:pt>
              <c:pt idx="7">
                <c:v>-0.5714285714285714</c:v>
              </c:pt>
              <c:pt idx="8">
                <c:v>-0.51428571428571423</c:v>
              </c:pt>
              <c:pt idx="9">
                <c:v>-0.45714285714285713</c:v>
              </c:pt>
              <c:pt idx="10">
                <c:v>-0.4</c:v>
              </c:pt>
              <c:pt idx="11">
                <c:v>-0.34285714285714286</c:v>
              </c:pt>
              <c:pt idx="12">
                <c:v>-0.2857142857142857</c:v>
              </c:pt>
              <c:pt idx="13">
                <c:v>-0.22857142857142856</c:v>
              </c:pt>
              <c:pt idx="14">
                <c:v>-0.17142857142857143</c:v>
              </c:pt>
              <c:pt idx="15">
                <c:v>-0.11428571428571428</c:v>
              </c:pt>
              <c:pt idx="16">
                <c:v>-5.7142857142857141E-2</c:v>
              </c:pt>
              <c:pt idx="17">
                <c:v>0</c:v>
              </c:pt>
              <c:pt idx="18">
                <c:v>5.7142857142857141E-2</c:v>
              </c:pt>
              <c:pt idx="19">
                <c:v>0.11428571428571428</c:v>
              </c:pt>
              <c:pt idx="20">
                <c:v>0.17142857142857143</c:v>
              </c:pt>
              <c:pt idx="21">
                <c:v>0.22857142857142856</c:v>
              </c:pt>
              <c:pt idx="22">
                <c:v>0.2857142857142857</c:v>
              </c:pt>
              <c:pt idx="23">
                <c:v>0.34285714285714286</c:v>
              </c:pt>
              <c:pt idx="24">
                <c:v>0.4</c:v>
              </c:pt>
              <c:pt idx="25">
                <c:v>0.45714285714285713</c:v>
              </c:pt>
              <c:pt idx="26">
                <c:v>0.51428571428571423</c:v>
              </c:pt>
              <c:pt idx="27">
                <c:v>0.5714285714285714</c:v>
              </c:pt>
              <c:pt idx="28">
                <c:v>0.62857142857142856</c:v>
              </c:pt>
              <c:pt idx="29">
                <c:v>0.68571428571428572</c:v>
              </c:pt>
              <c:pt idx="30">
                <c:v>0.74285714285714288</c:v>
              </c:pt>
              <c:pt idx="31">
                <c:v>0.8</c:v>
              </c:pt>
              <c:pt idx="32">
                <c:v>0.8571428571428571</c:v>
              </c:pt>
              <c:pt idx="33">
                <c:v>0.91428571428571426</c:v>
              </c:pt>
              <c:pt idx="34">
                <c:v>0.97142857142857142</c:v>
              </c:pt>
            </c:numLit>
          </c:xVal>
          <c:yVal>
            <c:numLit>
              <c:formatCode>General</c:formatCode>
              <c:ptCount val="36"/>
              <c:pt idx="0">
                <c:v>-0.99912977274247039</c:v>
              </c:pt>
              <c:pt idx="1">
                <c:v>-0.99217124447620197</c:v>
              </c:pt>
              <c:pt idx="2">
                <c:v>-0.97827171816172953</c:v>
              </c:pt>
              <c:pt idx="3">
                <c:v>-0.9574661806510103</c:v>
              </c:pt>
              <c:pt idx="4">
                <c:v>-0.92980692869385917</c:v>
              </c:pt>
              <c:pt idx="5">
                <c:v>-0.89536334991138478</c:v>
              </c:pt>
              <c:pt idx="6">
                <c:v>-0.85422163276278107</c:v>
              </c:pt>
              <c:pt idx="7">
                <c:v>-0.80648440720221659</c:v>
              </c:pt>
              <c:pt idx="8">
                <c:v>-0.75227031812268297</c:v>
              </c:pt>
              <c:pt idx="9">
                <c:v>-0.6917135340680266</c:v>
              </c:pt>
              <c:pt idx="10">
                <c:v>-0.62496319406023315</c:v>
              </c:pt>
              <c:pt idx="11">
                <c:v>-0.5521827957336547</c:v>
              </c:pt>
              <c:pt idx="12">
                <c:v>-0.4735495282888178</c:v>
              </c:pt>
              <c:pt idx="13">
                <c:v>-0.38925355407350926</c:v>
              </c:pt>
              <c:pt idx="14">
                <c:v>-0.29949724286593099</c:v>
              </c:pt>
              <c:pt idx="15">
                <c:v>-0.20449436317216188</c:v>
              </c:pt>
              <c:pt idx="16">
                <c:v>-0.1044692350563745</c:v>
              </c:pt>
              <c:pt idx="17">
                <c:v>3.4415080391046222E-4</c:v>
              </c:pt>
              <c:pt idx="18">
                <c:v>0.10970304300479068</c:v>
              </c:pt>
              <c:pt idx="19">
                <c:v>0.22335686330597315</c:v>
              </c:pt>
              <c:pt idx="20">
                <c:v>0.34104815951250161</c:v>
              </c:pt>
              <c:pt idx="21">
                <c:v>0.46251357229924672</c:v>
              </c:pt>
              <c:pt idx="22">
                <c:v>0.58748481092578186</c:v>
              </c:pt>
              <c:pt idx="23">
                <c:v>0.71568963281947362</c:v>
              </c:pt>
              <c:pt idx="24">
                <c:v>0.84685282206785595</c:v>
              </c:pt>
              <c:pt idx="25">
                <c:v>0.98069716195644319</c:v>
              </c:pt>
              <c:pt idx="26">
                <c:v>1.1169443968138275</c:v>
              </c:pt>
              <c:pt idx="27">
                <c:v>1.2553161785807909</c:v>
              </c:pt>
              <c:pt idx="28">
                <c:v>1.3955349937022745</c:v>
              </c:pt>
              <c:pt idx="29">
                <c:v>1.5373250661487918</c:v>
              </c:pt>
              <c:pt idx="30">
                <c:v>1.680413232604836</c:v>
              </c:pt>
              <c:pt idx="31">
                <c:v>1.8245297861140126</c:v>
              </c:pt>
              <c:pt idx="32">
                <c:v>1.9694092847415323</c:v>
              </c:pt>
              <c:pt idx="33">
                <c:v>2.1147913221019228</c:v>
              </c:pt>
              <c:pt idx="34">
                <c:v>2.2604212569007602</c:v>
              </c:pt>
              <c:pt idx="35">
                <c:v>2.4060508989513734</c:v>
              </c:pt>
            </c:numLit>
          </c:yVal>
          <c:smooth val="1"/>
          <c:extLst>
            <c:ext xmlns:c16="http://schemas.microsoft.com/office/drawing/2014/chart" uri="{C3380CC4-5D6E-409C-BE32-E72D297353CC}">
              <c16:uniqueId val="{00000003-5821-4D3A-B197-272D6B1A1213}"/>
            </c:ext>
          </c:extLst>
        </c:ser>
        <c:ser>
          <c:idx val="4"/>
          <c:order val="4"/>
          <c:tx>
            <c:v>Survey Effectiveness (0.78)</c:v>
          </c:tx>
          <c:xVal>
            <c:numLit>
              <c:formatCode>General</c:formatCode>
              <c:ptCount val="19"/>
              <c:pt idx="0">
                <c:v>-0.93589743589743579</c:v>
              </c:pt>
              <c:pt idx="1">
                <c:v>-0.87179487179487181</c:v>
              </c:pt>
              <c:pt idx="2">
                <c:v>-0.80769230769230771</c:v>
              </c:pt>
              <c:pt idx="3">
                <c:v>-0.74358974358974361</c:v>
              </c:pt>
              <c:pt idx="4">
                <c:v>-0.67948717948717952</c:v>
              </c:pt>
              <c:pt idx="5">
                <c:v>-0.61538461538461542</c:v>
              </c:pt>
              <c:pt idx="6">
                <c:v>-0.55128205128205132</c:v>
              </c:pt>
              <c:pt idx="7">
                <c:v>-0.48717948717948717</c:v>
              </c:pt>
              <c:pt idx="8">
                <c:v>-0.42307692307692307</c:v>
              </c:pt>
              <c:pt idx="9">
                <c:v>-0.35897435897435898</c:v>
              </c:pt>
              <c:pt idx="10">
                <c:v>-0.29487179487179482</c:v>
              </c:pt>
              <c:pt idx="11">
                <c:v>-0.23076923076923084</c:v>
              </c:pt>
              <c:pt idx="12">
                <c:v>-0.16666666666666666</c:v>
              </c:pt>
              <c:pt idx="13">
                <c:v>-0.10256410256410266</c:v>
              </c:pt>
              <c:pt idx="14">
                <c:v>-3.8461538461538491E-2</c:v>
              </c:pt>
              <c:pt idx="15">
                <c:v>2.5641025641025664E-2</c:v>
              </c:pt>
              <c:pt idx="16">
                <c:v>8.9743589743589675E-2</c:v>
              </c:pt>
              <c:pt idx="17">
                <c:v>0.15384615384615383</c:v>
              </c:pt>
              <c:pt idx="18">
                <c:v>0.21794871794871784</c:v>
              </c:pt>
            </c:numLit>
          </c:xVal>
          <c:yVal>
            <c:numLit>
              <c:formatCode>General</c:formatCode>
              <c:ptCount val="19"/>
              <c:pt idx="0">
                <c:v>3.1242405694273825</c:v>
              </c:pt>
              <c:pt idx="1">
                <c:v>2.9195144686045649</c:v>
              </c:pt>
              <c:pt idx="2">
                <c:v>2.713466950735365</c:v>
              </c:pt>
              <c:pt idx="3">
                <c:v>2.5060894866532344</c:v>
              </c:pt>
              <c:pt idx="4">
                <c:v>2.2973734921396036</c:v>
              </c:pt>
              <c:pt idx="5">
                <c:v>2.0873103275685372</c:v>
              </c:pt>
              <c:pt idx="6">
                <c:v>1.8758912975491238</c:v>
              </c:pt>
              <c:pt idx="7">
                <c:v>1.6631076505655074</c:v>
              </c:pt>
              <c:pt idx="8">
                <c:v>1.4489505786146517</c:v>
              </c:pt>
              <c:pt idx="9">
                <c:v>1.2334112168417244</c:v>
              </c:pt>
              <c:pt idx="10">
                <c:v>1.0164806431731561</c:v>
              </c:pt>
              <c:pt idx="11">
                <c:v>0.79814987794730474</c:v>
              </c:pt>
              <c:pt idx="12">
                <c:v>0.57840988354276246</c:v>
              </c:pt>
              <c:pt idx="13">
                <c:v>0.35725156400424185</c:v>
              </c:pt>
              <c:pt idx="14">
                <c:v>0.13466576466605967</c:v>
              </c:pt>
              <c:pt idx="15">
                <c:v>-8.9356728226807972E-2</c:v>
              </c:pt>
              <c:pt idx="16">
                <c:v>-0.31482518790013253</c:v>
              </c:pt>
              <c:pt idx="17">
                <c:v>-0.54174894743427593</c:v>
              </c:pt>
              <c:pt idx="18">
                <c:v>-0.7701374001505441</c:v>
              </c:pt>
            </c:numLit>
          </c:yVal>
          <c:smooth val="1"/>
          <c:extLst>
            <c:ext xmlns:c16="http://schemas.microsoft.com/office/drawing/2014/chart" uri="{C3380CC4-5D6E-409C-BE32-E72D297353CC}">
              <c16:uniqueId val="{00000004-5821-4D3A-B197-272D6B1A1213}"/>
            </c:ext>
          </c:extLst>
        </c:ser>
        <c:ser>
          <c:idx val="5"/>
          <c:order val="5"/>
          <c:tx>
            <c:v># of Piles (10)</c:v>
          </c:tx>
          <c:xVal>
            <c:numLit>
              <c:formatCode>General</c:formatCode>
              <c:ptCount val="23"/>
              <c:pt idx="0">
                <c:v>-0.9</c:v>
              </c:pt>
              <c:pt idx="1">
                <c:v>-0.8</c:v>
              </c:pt>
              <c:pt idx="2">
                <c:v>-0.7</c:v>
              </c:pt>
              <c:pt idx="3">
                <c:v>-0.6</c:v>
              </c:pt>
              <c:pt idx="4">
                <c:v>-0.5</c:v>
              </c:pt>
              <c:pt idx="5">
                <c:v>-0.4</c:v>
              </c:pt>
              <c:pt idx="6">
                <c:v>-0.3</c:v>
              </c:pt>
              <c:pt idx="7">
                <c:v>-0.2</c:v>
              </c:pt>
              <c:pt idx="8">
                <c:v>-0.1</c:v>
              </c:pt>
              <c:pt idx="9">
                <c:v>0</c:v>
              </c:pt>
              <c:pt idx="10">
                <c:v>0.1</c:v>
              </c:pt>
              <c:pt idx="11">
                <c:v>0.2</c:v>
              </c:pt>
              <c:pt idx="12">
                <c:v>0.3</c:v>
              </c:pt>
              <c:pt idx="13">
                <c:v>0.4</c:v>
              </c:pt>
              <c:pt idx="14">
                <c:v>0.5</c:v>
              </c:pt>
              <c:pt idx="15">
                <c:v>0.6</c:v>
              </c:pt>
              <c:pt idx="16">
                <c:v>0.7</c:v>
              </c:pt>
              <c:pt idx="17">
                <c:v>0.8</c:v>
              </c:pt>
              <c:pt idx="18">
                <c:v>0.9</c:v>
              </c:pt>
              <c:pt idx="19">
                <c:v>1</c:v>
              </c:pt>
              <c:pt idx="20">
                <c:v>1.1000000000000001</c:v>
              </c:pt>
              <c:pt idx="21">
                <c:v>1.2</c:v>
              </c:pt>
              <c:pt idx="22">
                <c:v>1.3</c:v>
              </c:pt>
            </c:numLit>
          </c:xVal>
          <c:yVal>
            <c:numLit>
              <c:formatCode>General</c:formatCode>
              <c:ptCount val="23"/>
              <c:pt idx="0">
                <c:v>-0.83318383669241225</c:v>
              </c:pt>
              <c:pt idx="1">
                <c:v>-0.68650931367299695</c:v>
              </c:pt>
              <c:pt idx="2">
                <c:v>-0.55754449829533481</c:v>
              </c:pt>
              <c:pt idx="3">
                <c:v>-0.44415109320348456</c:v>
              </c:pt>
              <c:pt idx="4">
                <c:v>-0.34444898235510513</c:v>
              </c:pt>
              <c:pt idx="5">
                <c:v>-0.2567850578123102</c:v>
              </c:pt>
              <c:pt idx="6">
                <c:v>-0.1797058104337704</c:v>
              </c:pt>
              <c:pt idx="7">
                <c:v>-0.11193323000883375</c:v>
              </c:pt>
              <c:pt idx="8">
                <c:v>-5.2343615246543185E-2</c:v>
              </c:pt>
              <c:pt idx="9">
                <c:v>5.1057720810468634E-5</c:v>
              </c:pt>
              <c:pt idx="10">
                <c:v>4.6119517238577719E-2</c:v>
              </c:pt>
              <c:pt idx="11">
                <c:v>8.66256000547167E-2</c:v>
              </c:pt>
              <c:pt idx="12">
                <c:v>0.12224091609269153</c:v>
              </c:pt>
              <c:pt idx="13">
                <c:v>0.15355598406019741</c:v>
              </c:pt>
              <c:pt idx="14">
                <c:v>0.18109002252735343</c:v>
              </c:pt>
              <c:pt idx="15">
                <c:v>0.20529955881504383</c:v>
              </c:pt>
              <c:pt idx="16">
                <c:v>0.226585998432833</c:v>
              </c:pt>
              <c:pt idx="17">
                <c:v>0.24530228057129638</c:v>
              </c:pt>
              <c:pt idx="18">
                <c:v>0.26175872999996563</c:v>
              </c:pt>
              <c:pt idx="19">
                <c:v>0.27622820239810814</c:v>
              </c:pt>
              <c:pt idx="20">
                <c:v>0.28895060843035147</c:v>
              </c:pt>
              <c:pt idx="21">
                <c:v>0.30013689157845302</c:v>
              </c:pt>
              <c:pt idx="22">
                <c:v>0.30997252568354033</c:v>
              </c:pt>
            </c:numLit>
          </c:yVal>
          <c:smooth val="1"/>
          <c:extLst>
            <c:ext xmlns:c16="http://schemas.microsoft.com/office/drawing/2014/chart" uri="{C3380CC4-5D6E-409C-BE32-E72D297353CC}">
              <c16:uniqueId val="{00000005-5821-4D3A-B197-272D6B1A1213}"/>
            </c:ext>
          </c:extLst>
        </c:ser>
        <c:dLbls>
          <c:showLegendKey val="0"/>
          <c:showVal val="0"/>
          <c:showCatName val="0"/>
          <c:showSerName val="0"/>
          <c:showPercent val="0"/>
          <c:showBubbleSize val="0"/>
        </c:dLbls>
        <c:axId val="268172672"/>
        <c:axId val="268379648"/>
      </c:scatterChart>
      <c:valAx>
        <c:axId val="268172672"/>
        <c:scaling>
          <c:orientation val="minMax"/>
          <c:max val="1"/>
          <c:min val="-1"/>
        </c:scaling>
        <c:delete val="0"/>
        <c:axPos val="b"/>
        <c:title>
          <c:tx>
            <c:rich>
              <a:bodyPr/>
              <a:lstStyle/>
              <a:p>
                <a:pPr>
                  <a:defRPr/>
                </a:pPr>
                <a:r>
                  <a:rPr lang="en-US"/>
                  <a:t>% Change in</a:t>
                </a:r>
                <a:r>
                  <a:rPr lang="en-US" baseline="0"/>
                  <a:t> Input Value from Initial Value</a:t>
                </a:r>
                <a:endParaRPr lang="en-US"/>
              </a:p>
            </c:rich>
          </c:tx>
          <c:layout>
            <c:manualLayout>
              <c:xMode val="edge"/>
              <c:yMode val="edge"/>
              <c:x val="0.38685975593257022"/>
              <c:y val="0.95925683446872512"/>
            </c:manualLayout>
          </c:layout>
          <c:overlay val="0"/>
        </c:title>
        <c:numFmt formatCode="0%" sourceLinked="0"/>
        <c:majorTickMark val="out"/>
        <c:minorTickMark val="none"/>
        <c:tickLblPos val="nextTo"/>
        <c:crossAx val="268379648"/>
        <c:crosses val="autoZero"/>
        <c:crossBetween val="midCat"/>
      </c:valAx>
      <c:valAx>
        <c:axId val="268379648"/>
        <c:scaling>
          <c:orientation val="minMax"/>
          <c:max val="1"/>
          <c:min val="-1"/>
        </c:scaling>
        <c:delete val="0"/>
        <c:axPos val="l"/>
        <c:majorGridlines/>
        <c:title>
          <c:tx>
            <c:rich>
              <a:bodyPr rot="-5400000" vert="horz"/>
              <a:lstStyle/>
              <a:p>
                <a:pPr>
                  <a:defRPr/>
                </a:pPr>
                <a:r>
                  <a:rPr lang="en-US"/>
                  <a:t>% change in</a:t>
                </a:r>
                <a:r>
                  <a:rPr lang="en-US" baseline="0"/>
                  <a:t> Probability Estimate from Initial Estimate</a:t>
                </a:r>
                <a:endParaRPr lang="en-US"/>
              </a:p>
            </c:rich>
          </c:tx>
          <c:layout>
            <c:manualLayout>
              <c:xMode val="edge"/>
              <c:yMode val="edge"/>
              <c:x val="1.5120274914089347E-2"/>
              <c:y val="0.21628889085493527"/>
            </c:manualLayout>
          </c:layout>
          <c:overlay val="0"/>
        </c:title>
        <c:numFmt formatCode="0%" sourceLinked="0"/>
        <c:majorTickMark val="out"/>
        <c:minorTickMark val="none"/>
        <c:tickLblPos val="nextTo"/>
        <c:crossAx val="268172672"/>
        <c:crosses val="autoZero"/>
        <c:crossBetween val="midCat"/>
      </c:valAx>
    </c:plotArea>
    <c:legend>
      <c:legendPos val="t"/>
      <c:layout>
        <c:manualLayout>
          <c:xMode val="edge"/>
          <c:yMode val="edge"/>
          <c:x val="0.23443396379576265"/>
          <c:y val="2.283602190175666E-2"/>
          <c:w val="0.52089249668533699"/>
          <c:h val="0.18250367884342325"/>
        </c:manualLayout>
      </c:layout>
      <c:overlay val="1"/>
      <c:spPr>
        <a:ln>
          <a:solidFill>
            <a:sysClr val="windowText" lastClr="000000"/>
          </a:solidFill>
        </a:ln>
      </c:spPr>
    </c:legend>
    <c:plotVisOnly val="1"/>
    <c:dispBlanksAs val="gap"/>
    <c:showDLblsOverMax val="0"/>
  </c:chart>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Conservation Zone 1</a:t>
            </a:r>
          </a:p>
          <a:p>
            <a:pPr>
              <a:defRPr/>
            </a:pPr>
            <a:r>
              <a:rPr lang="en-US" baseline="0"/>
              <a:t>2001-2016 Summer </a:t>
            </a:r>
            <a:r>
              <a:rPr lang="en-US"/>
              <a:t>Murrelet Density</a:t>
            </a:r>
            <a:r>
              <a:rPr lang="en-US" baseline="0"/>
              <a:t> by Stratum</a:t>
            </a:r>
            <a:endParaRPr lang="en-US"/>
          </a:p>
        </c:rich>
      </c:tx>
      <c:overlay val="0"/>
    </c:title>
    <c:autoTitleDeleted val="0"/>
    <c:plotArea>
      <c:layout>
        <c:manualLayout>
          <c:layoutTarget val="inner"/>
          <c:xMode val="edge"/>
          <c:yMode val="edge"/>
          <c:x val="7.9976796718923937E-2"/>
          <c:y val="0.12377296606596432"/>
          <c:w val="0.74290269123998731"/>
          <c:h val="0.76471562026465512"/>
        </c:manualLayout>
      </c:layout>
      <c:scatterChart>
        <c:scatterStyle val="smoothMarker"/>
        <c:varyColors val="0"/>
        <c:ser>
          <c:idx val="0"/>
          <c:order val="0"/>
          <c:tx>
            <c:v>Stratum 1</c:v>
          </c:tx>
          <c:trendline>
            <c:spPr>
              <a:ln>
                <a:solidFill>
                  <a:schemeClr val="accent1">
                    <a:lumMod val="50000"/>
                  </a:schemeClr>
                </a:solidFill>
              </a:ln>
            </c:spPr>
            <c:trendlineType val="linear"/>
            <c:dispRSqr val="1"/>
            <c:dispEq val="1"/>
            <c:trendlineLbl>
              <c:layout>
                <c:manualLayout>
                  <c:x val="1.2181298274536451E-2"/>
                  <c:y val="-6.3450486098789075E-2"/>
                </c:manualLayout>
              </c:layout>
              <c:numFmt formatCode="General" sourceLinked="0"/>
            </c:trendlineLbl>
          </c:trendline>
          <c:xVal>
            <c:numRef>
              <c:f>'MaMu Density'!$A$33:$A$50</c:f>
              <c:numCache>
                <c:formatCode>General</c:formatCode>
                <c:ptCount val="18"/>
                <c:pt idx="0">
                  <c:v>2001</c:v>
                </c:pt>
                <c:pt idx="1">
                  <c:v>2002</c:v>
                </c:pt>
                <c:pt idx="2">
                  <c:v>2003</c:v>
                </c:pt>
                <c:pt idx="3">
                  <c:v>2004</c:v>
                </c:pt>
                <c:pt idx="4">
                  <c:v>2005</c:v>
                </c:pt>
                <c:pt idx="5">
                  <c:v>2006</c:v>
                </c:pt>
                <c:pt idx="6">
                  <c:v>2007</c:v>
                </c:pt>
                <c:pt idx="7">
                  <c:v>2008</c:v>
                </c:pt>
                <c:pt idx="8">
                  <c:v>2009</c:v>
                </c:pt>
                <c:pt idx="9">
                  <c:v>2010</c:v>
                </c:pt>
                <c:pt idx="10">
                  <c:v>2011</c:v>
                </c:pt>
                <c:pt idx="11">
                  <c:v>2012</c:v>
                </c:pt>
                <c:pt idx="12">
                  <c:v>2013</c:v>
                </c:pt>
                <c:pt idx="13">
                  <c:v>2014</c:v>
                </c:pt>
                <c:pt idx="14">
                  <c:v>2015</c:v>
                </c:pt>
                <c:pt idx="15">
                  <c:v>2016</c:v>
                </c:pt>
                <c:pt idx="16">
                  <c:v>2017</c:v>
                </c:pt>
                <c:pt idx="17">
                  <c:v>2018</c:v>
                </c:pt>
              </c:numCache>
            </c:numRef>
          </c:xVal>
          <c:yVal>
            <c:numRef>
              <c:f>'MaMu Density'!$B$33:$B$50</c:f>
              <c:numCache>
                <c:formatCode>0.000</c:formatCode>
                <c:ptCount val="18"/>
                <c:pt idx="0">
                  <c:v>4.5060000000000002</c:v>
                </c:pt>
                <c:pt idx="1">
                  <c:v>7.2069999999999999</c:v>
                </c:pt>
                <c:pt idx="2">
                  <c:v>6.6440000000000001</c:v>
                </c:pt>
                <c:pt idx="3">
                  <c:v>3.8330000000000002</c:v>
                </c:pt>
                <c:pt idx="4">
                  <c:v>2.5009999999999999</c:v>
                </c:pt>
                <c:pt idx="5">
                  <c:v>2.76</c:v>
                </c:pt>
                <c:pt idx="6">
                  <c:v>3.4449999999999998</c:v>
                </c:pt>
                <c:pt idx="7">
                  <c:v>3.5720000000000001</c:v>
                </c:pt>
                <c:pt idx="8">
                  <c:v>3.8109999999999999</c:v>
                </c:pt>
                <c:pt idx="9">
                  <c:v>2.004</c:v>
                </c:pt>
                <c:pt idx="10">
                  <c:v>5.58</c:v>
                </c:pt>
                <c:pt idx="11">
                  <c:v>7.1660000000000004</c:v>
                </c:pt>
                <c:pt idx="12">
                  <c:v>2.379</c:v>
                </c:pt>
                <c:pt idx="13">
                  <c:v>1.2350000000000001</c:v>
                </c:pt>
                <c:pt idx="14">
                  <c:v>2.218</c:v>
                </c:pt>
                <c:pt idx="15">
                  <c:v>2.6930000000000001</c:v>
                </c:pt>
                <c:pt idx="16">
                  <c:v>0</c:v>
                </c:pt>
                <c:pt idx="17">
                  <c:v>1.4019999999999999</c:v>
                </c:pt>
              </c:numCache>
            </c:numRef>
          </c:yVal>
          <c:smooth val="1"/>
          <c:extLst>
            <c:ext xmlns:c16="http://schemas.microsoft.com/office/drawing/2014/chart" uri="{C3380CC4-5D6E-409C-BE32-E72D297353CC}">
              <c16:uniqueId val="{00000000-3896-42DE-AABB-CB35A7C98EC5}"/>
            </c:ext>
          </c:extLst>
        </c:ser>
        <c:ser>
          <c:idx val="1"/>
          <c:order val="1"/>
          <c:tx>
            <c:v>Stratum 2</c:v>
          </c:tx>
          <c:trendline>
            <c:spPr>
              <a:ln>
                <a:solidFill>
                  <a:schemeClr val="accent2">
                    <a:lumMod val="50000"/>
                  </a:schemeClr>
                </a:solidFill>
              </a:ln>
            </c:spPr>
            <c:trendlineType val="linear"/>
            <c:dispRSqr val="1"/>
            <c:dispEq val="1"/>
            <c:trendlineLbl>
              <c:layout>
                <c:manualLayout>
                  <c:x val="0.13574222077926179"/>
                  <c:y val="1.1580507196088524E-3"/>
                </c:manualLayout>
              </c:layout>
              <c:numFmt formatCode="General" sourceLinked="0"/>
            </c:trendlineLbl>
          </c:trendline>
          <c:xVal>
            <c:numRef>
              <c:f>'MaMu Density'!$A$33:$A$50</c:f>
              <c:numCache>
                <c:formatCode>General</c:formatCode>
                <c:ptCount val="18"/>
                <c:pt idx="0">
                  <c:v>2001</c:v>
                </c:pt>
                <c:pt idx="1">
                  <c:v>2002</c:v>
                </c:pt>
                <c:pt idx="2">
                  <c:v>2003</c:v>
                </c:pt>
                <c:pt idx="3">
                  <c:v>2004</c:v>
                </c:pt>
                <c:pt idx="4">
                  <c:v>2005</c:v>
                </c:pt>
                <c:pt idx="5">
                  <c:v>2006</c:v>
                </c:pt>
                <c:pt idx="6">
                  <c:v>2007</c:v>
                </c:pt>
                <c:pt idx="7">
                  <c:v>2008</c:v>
                </c:pt>
                <c:pt idx="8">
                  <c:v>2009</c:v>
                </c:pt>
                <c:pt idx="9">
                  <c:v>2010</c:v>
                </c:pt>
                <c:pt idx="10">
                  <c:v>2011</c:v>
                </c:pt>
                <c:pt idx="11">
                  <c:v>2012</c:v>
                </c:pt>
                <c:pt idx="12">
                  <c:v>2013</c:v>
                </c:pt>
                <c:pt idx="13">
                  <c:v>2014</c:v>
                </c:pt>
                <c:pt idx="14">
                  <c:v>2015</c:v>
                </c:pt>
                <c:pt idx="15">
                  <c:v>2016</c:v>
                </c:pt>
                <c:pt idx="16">
                  <c:v>2017</c:v>
                </c:pt>
                <c:pt idx="17">
                  <c:v>2018</c:v>
                </c:pt>
              </c:numCache>
            </c:numRef>
          </c:xVal>
          <c:yVal>
            <c:numRef>
              <c:f>'MaMu Density'!$J$33:$J$50</c:f>
              <c:numCache>
                <c:formatCode>0.000</c:formatCode>
                <c:ptCount val="18"/>
                <c:pt idx="0">
                  <c:v>1.764</c:v>
                </c:pt>
                <c:pt idx="1">
                  <c:v>1.879</c:v>
                </c:pt>
                <c:pt idx="2">
                  <c:v>1.4410000000000001</c:v>
                </c:pt>
                <c:pt idx="3">
                  <c:v>1.5129999999999999</c:v>
                </c:pt>
                <c:pt idx="4">
                  <c:v>2.4260000000000002</c:v>
                </c:pt>
                <c:pt idx="5">
                  <c:v>1.4179999999999999</c:v>
                </c:pt>
                <c:pt idx="6">
                  <c:v>1.218</c:v>
                </c:pt>
                <c:pt idx="7">
                  <c:v>0.89900000000000002</c:v>
                </c:pt>
                <c:pt idx="8">
                  <c:v>0.68899999999999995</c:v>
                </c:pt>
                <c:pt idx="9">
                  <c:v>1.7829999999999999</c:v>
                </c:pt>
                <c:pt idx="10">
                  <c:v>1.2430000000000001</c:v>
                </c:pt>
                <c:pt idx="11">
                  <c:v>1.5069999999999999</c:v>
                </c:pt>
                <c:pt idx="12">
                  <c:v>0.65700000000000003</c:v>
                </c:pt>
                <c:pt idx="13">
                  <c:v>1.274</c:v>
                </c:pt>
                <c:pt idx="14">
                  <c:v>1.9450000000000001</c:v>
                </c:pt>
                <c:pt idx="15">
                  <c:v>1.655</c:v>
                </c:pt>
                <c:pt idx="16">
                  <c:v>0</c:v>
                </c:pt>
                <c:pt idx="17">
                  <c:v>1.034</c:v>
                </c:pt>
              </c:numCache>
            </c:numRef>
          </c:yVal>
          <c:smooth val="1"/>
          <c:extLst>
            <c:ext xmlns:c16="http://schemas.microsoft.com/office/drawing/2014/chart" uri="{C3380CC4-5D6E-409C-BE32-E72D297353CC}">
              <c16:uniqueId val="{00000001-3896-42DE-AABB-CB35A7C98EC5}"/>
            </c:ext>
          </c:extLst>
        </c:ser>
        <c:ser>
          <c:idx val="2"/>
          <c:order val="2"/>
          <c:tx>
            <c:v>Stratum 3</c:v>
          </c:tx>
          <c:trendline>
            <c:spPr>
              <a:ln>
                <a:solidFill>
                  <a:schemeClr val="accent3">
                    <a:lumMod val="50000"/>
                  </a:schemeClr>
                </a:solidFill>
              </a:ln>
            </c:spPr>
            <c:trendlineType val="linear"/>
            <c:dispRSqr val="1"/>
            <c:dispEq val="1"/>
            <c:trendlineLbl>
              <c:layout>
                <c:manualLayout>
                  <c:x val="0.1579625776049419"/>
                  <c:y val="2.1617859695255096E-2"/>
                </c:manualLayout>
              </c:layout>
              <c:numFmt formatCode="General" sourceLinked="0"/>
            </c:trendlineLbl>
          </c:trendline>
          <c:xVal>
            <c:numRef>
              <c:f>'MaMu Density'!$A$33:$A$50</c:f>
              <c:numCache>
                <c:formatCode>General</c:formatCode>
                <c:ptCount val="18"/>
                <c:pt idx="0">
                  <c:v>2001</c:v>
                </c:pt>
                <c:pt idx="1">
                  <c:v>2002</c:v>
                </c:pt>
                <c:pt idx="2">
                  <c:v>2003</c:v>
                </c:pt>
                <c:pt idx="3">
                  <c:v>2004</c:v>
                </c:pt>
                <c:pt idx="4">
                  <c:v>2005</c:v>
                </c:pt>
                <c:pt idx="5">
                  <c:v>2006</c:v>
                </c:pt>
                <c:pt idx="6">
                  <c:v>2007</c:v>
                </c:pt>
                <c:pt idx="7">
                  <c:v>2008</c:v>
                </c:pt>
                <c:pt idx="8">
                  <c:v>2009</c:v>
                </c:pt>
                <c:pt idx="9">
                  <c:v>2010</c:v>
                </c:pt>
                <c:pt idx="10">
                  <c:v>2011</c:v>
                </c:pt>
                <c:pt idx="11">
                  <c:v>2012</c:v>
                </c:pt>
                <c:pt idx="12">
                  <c:v>2013</c:v>
                </c:pt>
                <c:pt idx="13">
                  <c:v>2014</c:v>
                </c:pt>
                <c:pt idx="14">
                  <c:v>2015</c:v>
                </c:pt>
                <c:pt idx="15">
                  <c:v>2016</c:v>
                </c:pt>
                <c:pt idx="16">
                  <c:v>2017</c:v>
                </c:pt>
                <c:pt idx="17">
                  <c:v>2018</c:v>
                </c:pt>
              </c:numCache>
            </c:numRef>
          </c:xVal>
          <c:yVal>
            <c:numRef>
              <c:f>'MaMu Density'!$R$33:$R$50</c:f>
              <c:numCache>
                <c:formatCode>0.000</c:formatCode>
                <c:ptCount val="18"/>
                <c:pt idx="0">
                  <c:v>2.0670000000000002</c:v>
                </c:pt>
                <c:pt idx="1">
                  <c:v>0.97199999999999998</c:v>
                </c:pt>
                <c:pt idx="2">
                  <c:v>0.79300000000000004</c:v>
                </c:pt>
                <c:pt idx="3">
                  <c:v>0.28599999999999998</c:v>
                </c:pt>
                <c:pt idx="4">
                  <c:v>2.0209999999999999</c:v>
                </c:pt>
                <c:pt idx="5">
                  <c:v>1.284</c:v>
                </c:pt>
                <c:pt idx="6">
                  <c:v>1.796</c:v>
                </c:pt>
                <c:pt idx="7">
                  <c:v>0.41599999999999998</c:v>
                </c:pt>
                <c:pt idx="8">
                  <c:v>1.083</c:v>
                </c:pt>
                <c:pt idx="9">
                  <c:v>0.39100000000000001</c:v>
                </c:pt>
                <c:pt idx="10">
                  <c:v>0.67600000000000005</c:v>
                </c:pt>
                <c:pt idx="11">
                  <c:v>0.40200000000000002</c:v>
                </c:pt>
                <c:pt idx="12">
                  <c:v>1.097</c:v>
                </c:pt>
                <c:pt idx="13">
                  <c:v>0.16200000000000001</c:v>
                </c:pt>
                <c:pt idx="14">
                  <c:v>6.4000000000000001E-2</c:v>
                </c:pt>
                <c:pt idx="15">
                  <c:v>0.249</c:v>
                </c:pt>
                <c:pt idx="16">
                  <c:v>0</c:v>
                </c:pt>
                <c:pt idx="17">
                  <c:v>0.97699999999999998</c:v>
                </c:pt>
              </c:numCache>
            </c:numRef>
          </c:yVal>
          <c:smooth val="1"/>
          <c:extLst>
            <c:ext xmlns:c16="http://schemas.microsoft.com/office/drawing/2014/chart" uri="{C3380CC4-5D6E-409C-BE32-E72D297353CC}">
              <c16:uniqueId val="{00000002-3896-42DE-AABB-CB35A7C98EC5}"/>
            </c:ext>
          </c:extLst>
        </c:ser>
        <c:dLbls>
          <c:showLegendKey val="0"/>
          <c:showVal val="0"/>
          <c:showCatName val="0"/>
          <c:showSerName val="0"/>
          <c:showPercent val="0"/>
          <c:showBubbleSize val="0"/>
        </c:dLbls>
        <c:axId val="269261440"/>
        <c:axId val="269280000"/>
      </c:scatterChart>
      <c:valAx>
        <c:axId val="269261440"/>
        <c:scaling>
          <c:orientation val="minMax"/>
        </c:scaling>
        <c:delete val="0"/>
        <c:axPos val="b"/>
        <c:title>
          <c:tx>
            <c:rich>
              <a:bodyPr/>
              <a:lstStyle/>
              <a:p>
                <a:pPr>
                  <a:defRPr/>
                </a:pPr>
                <a:r>
                  <a:rPr lang="en-US"/>
                  <a:t>Survey Year</a:t>
                </a:r>
              </a:p>
            </c:rich>
          </c:tx>
          <c:overlay val="0"/>
        </c:title>
        <c:numFmt formatCode="General" sourceLinked="1"/>
        <c:majorTickMark val="out"/>
        <c:minorTickMark val="none"/>
        <c:tickLblPos val="nextTo"/>
        <c:txPr>
          <a:bodyPr rot="-3420000"/>
          <a:lstStyle/>
          <a:p>
            <a:pPr>
              <a:defRPr/>
            </a:pPr>
            <a:endParaRPr lang="en-US"/>
          </a:p>
        </c:txPr>
        <c:crossAx val="269280000"/>
        <c:crosses val="autoZero"/>
        <c:crossBetween val="midCat"/>
        <c:majorUnit val="1"/>
      </c:valAx>
      <c:valAx>
        <c:axId val="269280000"/>
        <c:scaling>
          <c:orientation val="minMax"/>
          <c:max val="8"/>
          <c:min val="0"/>
        </c:scaling>
        <c:delete val="0"/>
        <c:axPos val="l"/>
        <c:majorGridlines/>
        <c:title>
          <c:tx>
            <c:rich>
              <a:bodyPr rot="-5400000" vert="horz"/>
              <a:lstStyle/>
              <a:p>
                <a:pPr>
                  <a:defRPr sz="1100" b="0"/>
                </a:pPr>
                <a:r>
                  <a:rPr lang="en-US" sz="1100" b="0"/>
                  <a:t># birds/km^2 (DENSITY)</a:t>
                </a:r>
              </a:p>
            </c:rich>
          </c:tx>
          <c:overlay val="0"/>
        </c:title>
        <c:numFmt formatCode="0.000" sourceLinked="1"/>
        <c:majorTickMark val="out"/>
        <c:minorTickMark val="none"/>
        <c:tickLblPos val="nextTo"/>
        <c:crossAx val="269261440"/>
        <c:crosses val="autoZero"/>
        <c:crossBetween val="midCat"/>
        <c:majorUnit val="2"/>
      </c:valAx>
    </c:plotArea>
    <c:legend>
      <c:legendPos val="r"/>
      <c:overlay val="0"/>
    </c:legend>
    <c:plotVisOnly val="1"/>
    <c:dispBlanksAs val="gap"/>
    <c:showDLblsOverMax val="0"/>
  </c:chart>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Conservation Zone 1</a:t>
            </a:r>
          </a:p>
          <a:p>
            <a:pPr>
              <a:defRPr/>
            </a:pPr>
            <a:r>
              <a:rPr lang="en-US" baseline="0"/>
              <a:t>2001-2010 Summer </a:t>
            </a:r>
            <a:r>
              <a:rPr lang="en-US"/>
              <a:t>Murrelet Density </a:t>
            </a:r>
            <a:r>
              <a:rPr lang="en-US" baseline="0"/>
              <a:t> by Stratum</a:t>
            </a:r>
            <a:endParaRPr lang="en-US"/>
          </a:p>
        </c:rich>
      </c:tx>
      <c:overlay val="0"/>
    </c:title>
    <c:autoTitleDeleted val="0"/>
    <c:plotArea>
      <c:layout/>
      <c:scatterChart>
        <c:scatterStyle val="smoothMarker"/>
        <c:varyColors val="0"/>
        <c:ser>
          <c:idx val="0"/>
          <c:order val="0"/>
          <c:tx>
            <c:v>Stratum 1</c:v>
          </c:tx>
          <c:xVal>
            <c:numRef>
              <c:f>'Old_Pop Data'!$A$36:$A$45</c:f>
              <c:numCache>
                <c:formatCode>General</c:formatCode>
                <c:ptCount val="10"/>
                <c:pt idx="0">
                  <c:v>2001</c:v>
                </c:pt>
                <c:pt idx="1">
                  <c:v>2002</c:v>
                </c:pt>
                <c:pt idx="2">
                  <c:v>2003</c:v>
                </c:pt>
                <c:pt idx="3">
                  <c:v>2004</c:v>
                </c:pt>
                <c:pt idx="4">
                  <c:v>2005</c:v>
                </c:pt>
                <c:pt idx="5">
                  <c:v>2006</c:v>
                </c:pt>
                <c:pt idx="6">
                  <c:v>2007</c:v>
                </c:pt>
                <c:pt idx="7">
                  <c:v>2008</c:v>
                </c:pt>
                <c:pt idx="8">
                  <c:v>2009</c:v>
                </c:pt>
                <c:pt idx="9">
                  <c:v>2010</c:v>
                </c:pt>
              </c:numCache>
            </c:numRef>
          </c:xVal>
          <c:yVal>
            <c:numRef>
              <c:f>'Old_Pop Data'!$B$36:$B$45</c:f>
              <c:numCache>
                <c:formatCode>General</c:formatCode>
                <c:ptCount val="10"/>
                <c:pt idx="0">
                  <c:v>4.5065</c:v>
                </c:pt>
                <c:pt idx="1">
                  <c:v>7.1923000000000004</c:v>
                </c:pt>
                <c:pt idx="2">
                  <c:v>6.6444000000000001</c:v>
                </c:pt>
                <c:pt idx="3">
                  <c:v>3.8334000000000001</c:v>
                </c:pt>
                <c:pt idx="4">
                  <c:v>2.5013999999999998</c:v>
                </c:pt>
                <c:pt idx="5">
                  <c:v>2.7603</c:v>
                </c:pt>
                <c:pt idx="6">
                  <c:v>3.4449999999999998</c:v>
                </c:pt>
                <c:pt idx="7">
                  <c:v>3.5722999999999998</c:v>
                </c:pt>
                <c:pt idx="8">
                  <c:v>3.8107000000000002</c:v>
                </c:pt>
                <c:pt idx="9">
                  <c:v>2.0042</c:v>
                </c:pt>
              </c:numCache>
            </c:numRef>
          </c:yVal>
          <c:smooth val="1"/>
          <c:extLst>
            <c:ext xmlns:c16="http://schemas.microsoft.com/office/drawing/2014/chart" uri="{C3380CC4-5D6E-409C-BE32-E72D297353CC}">
              <c16:uniqueId val="{00000000-8769-4FCE-A0E3-7B0D64211B52}"/>
            </c:ext>
          </c:extLst>
        </c:ser>
        <c:ser>
          <c:idx val="1"/>
          <c:order val="1"/>
          <c:tx>
            <c:v>Stratum 2</c:v>
          </c:tx>
          <c:xVal>
            <c:numRef>
              <c:f>'Old_Pop Data'!$A$36:$A$45</c:f>
              <c:numCache>
                <c:formatCode>General</c:formatCode>
                <c:ptCount val="10"/>
                <c:pt idx="0">
                  <c:v>2001</c:v>
                </c:pt>
                <c:pt idx="1">
                  <c:v>2002</c:v>
                </c:pt>
                <c:pt idx="2">
                  <c:v>2003</c:v>
                </c:pt>
                <c:pt idx="3">
                  <c:v>2004</c:v>
                </c:pt>
                <c:pt idx="4">
                  <c:v>2005</c:v>
                </c:pt>
                <c:pt idx="5">
                  <c:v>2006</c:v>
                </c:pt>
                <c:pt idx="6">
                  <c:v>2007</c:v>
                </c:pt>
                <c:pt idx="7">
                  <c:v>2008</c:v>
                </c:pt>
                <c:pt idx="8">
                  <c:v>2009</c:v>
                </c:pt>
                <c:pt idx="9">
                  <c:v>2010</c:v>
                </c:pt>
              </c:numCache>
            </c:numRef>
          </c:xVal>
          <c:yVal>
            <c:numRef>
              <c:f>'Old_Pop Data'!$H$36:$H$45</c:f>
              <c:numCache>
                <c:formatCode>General</c:formatCode>
                <c:ptCount val="10"/>
                <c:pt idx="0">
                  <c:v>1.7645</c:v>
                </c:pt>
                <c:pt idx="1">
                  <c:v>1.875</c:v>
                </c:pt>
                <c:pt idx="2">
                  <c:v>1.4409000000000001</c:v>
                </c:pt>
                <c:pt idx="3">
                  <c:v>1.5198</c:v>
                </c:pt>
                <c:pt idx="4">
                  <c:v>2.4255</c:v>
                </c:pt>
                <c:pt idx="5">
                  <c:v>1.4182999999999999</c:v>
                </c:pt>
                <c:pt idx="6">
                  <c:v>1.2176</c:v>
                </c:pt>
                <c:pt idx="7">
                  <c:v>0.89890000000000003</c:v>
                </c:pt>
                <c:pt idx="8">
                  <c:v>0.68869999999999998</c:v>
                </c:pt>
                <c:pt idx="9">
                  <c:v>1.7829999999999999</c:v>
                </c:pt>
              </c:numCache>
            </c:numRef>
          </c:yVal>
          <c:smooth val="1"/>
          <c:extLst>
            <c:ext xmlns:c16="http://schemas.microsoft.com/office/drawing/2014/chart" uri="{C3380CC4-5D6E-409C-BE32-E72D297353CC}">
              <c16:uniqueId val="{00000001-8769-4FCE-A0E3-7B0D64211B52}"/>
            </c:ext>
          </c:extLst>
        </c:ser>
        <c:ser>
          <c:idx val="2"/>
          <c:order val="2"/>
          <c:tx>
            <c:v>Stratum 3</c:v>
          </c:tx>
          <c:xVal>
            <c:numRef>
              <c:f>'Old_Pop Data'!$A$36:$A$45</c:f>
              <c:numCache>
                <c:formatCode>General</c:formatCode>
                <c:ptCount val="10"/>
                <c:pt idx="0">
                  <c:v>2001</c:v>
                </c:pt>
                <c:pt idx="1">
                  <c:v>2002</c:v>
                </c:pt>
                <c:pt idx="2">
                  <c:v>2003</c:v>
                </c:pt>
                <c:pt idx="3">
                  <c:v>2004</c:v>
                </c:pt>
                <c:pt idx="4">
                  <c:v>2005</c:v>
                </c:pt>
                <c:pt idx="5">
                  <c:v>2006</c:v>
                </c:pt>
                <c:pt idx="6">
                  <c:v>2007</c:v>
                </c:pt>
                <c:pt idx="7">
                  <c:v>2008</c:v>
                </c:pt>
                <c:pt idx="8">
                  <c:v>2009</c:v>
                </c:pt>
                <c:pt idx="9">
                  <c:v>2010</c:v>
                </c:pt>
              </c:numCache>
            </c:numRef>
          </c:xVal>
          <c:yVal>
            <c:numRef>
              <c:f>'Old_Pop Data'!$N$36:$N$45</c:f>
              <c:numCache>
                <c:formatCode>General</c:formatCode>
                <c:ptCount val="10"/>
                <c:pt idx="0">
                  <c:v>2.0670999999999999</c:v>
                </c:pt>
                <c:pt idx="1">
                  <c:v>0.97050000000000003</c:v>
                </c:pt>
                <c:pt idx="2">
                  <c:v>0.79279999999999995</c:v>
                </c:pt>
                <c:pt idx="3">
                  <c:v>0.28599999999999998</c:v>
                </c:pt>
                <c:pt idx="4">
                  <c:v>2.0209000000000001</c:v>
                </c:pt>
                <c:pt idx="5">
                  <c:v>1.2843</c:v>
                </c:pt>
                <c:pt idx="6">
                  <c:v>1.7964</c:v>
                </c:pt>
                <c:pt idx="7">
                  <c:v>0.41599999999999998</c:v>
                </c:pt>
                <c:pt idx="8">
                  <c:v>1.0834999999999999</c:v>
                </c:pt>
                <c:pt idx="9">
                  <c:v>0.39119999999999999</c:v>
                </c:pt>
              </c:numCache>
            </c:numRef>
          </c:yVal>
          <c:smooth val="1"/>
          <c:extLst>
            <c:ext xmlns:c16="http://schemas.microsoft.com/office/drawing/2014/chart" uri="{C3380CC4-5D6E-409C-BE32-E72D297353CC}">
              <c16:uniqueId val="{00000002-8769-4FCE-A0E3-7B0D64211B52}"/>
            </c:ext>
          </c:extLst>
        </c:ser>
        <c:dLbls>
          <c:showLegendKey val="0"/>
          <c:showVal val="0"/>
          <c:showCatName val="0"/>
          <c:showSerName val="0"/>
          <c:showPercent val="0"/>
          <c:showBubbleSize val="0"/>
        </c:dLbls>
        <c:axId val="269291520"/>
        <c:axId val="269293440"/>
      </c:scatterChart>
      <c:valAx>
        <c:axId val="269291520"/>
        <c:scaling>
          <c:orientation val="minMax"/>
        </c:scaling>
        <c:delete val="0"/>
        <c:axPos val="b"/>
        <c:title>
          <c:tx>
            <c:rich>
              <a:bodyPr/>
              <a:lstStyle/>
              <a:p>
                <a:pPr>
                  <a:defRPr/>
                </a:pPr>
                <a:r>
                  <a:rPr lang="en-US"/>
                  <a:t>Survey Year</a:t>
                </a:r>
              </a:p>
            </c:rich>
          </c:tx>
          <c:overlay val="0"/>
        </c:title>
        <c:numFmt formatCode="General" sourceLinked="1"/>
        <c:majorTickMark val="out"/>
        <c:minorTickMark val="none"/>
        <c:tickLblPos val="nextTo"/>
        <c:crossAx val="269293440"/>
        <c:crosses val="autoZero"/>
        <c:crossBetween val="midCat"/>
      </c:valAx>
      <c:valAx>
        <c:axId val="269293440"/>
        <c:scaling>
          <c:orientation val="minMax"/>
          <c:max val="8"/>
          <c:min val="0"/>
        </c:scaling>
        <c:delete val="0"/>
        <c:axPos val="l"/>
        <c:majorGridlines/>
        <c:title>
          <c:tx>
            <c:rich>
              <a:bodyPr rot="-5400000" vert="horz"/>
              <a:lstStyle/>
              <a:p>
                <a:pPr>
                  <a:defRPr/>
                </a:pPr>
                <a:r>
                  <a:rPr lang="en-US"/>
                  <a:t># birds/km^2</a:t>
                </a:r>
              </a:p>
            </c:rich>
          </c:tx>
          <c:overlay val="0"/>
        </c:title>
        <c:numFmt formatCode="General" sourceLinked="1"/>
        <c:majorTickMark val="out"/>
        <c:minorTickMark val="none"/>
        <c:tickLblPos val="nextTo"/>
        <c:crossAx val="269291520"/>
        <c:crosses val="autoZero"/>
        <c:crossBetween val="midCat"/>
        <c:majorUnit val="2"/>
      </c:valAx>
    </c:plotArea>
    <c:legend>
      <c:legendPos val="r"/>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3.jpeg"/></Relationships>
</file>

<file path=xl/drawings/_rels/drawing5.xml.rels><?xml version="1.0" encoding="UTF-8" standalone="yes"?>
<Relationships xmlns="http://schemas.openxmlformats.org/package/2006/relationships"><Relationship Id="rId1" Type="http://schemas.openxmlformats.org/officeDocument/2006/relationships/chart" Target="../charts/chart8.xml"/></Relationships>
</file>

<file path=xl/drawings/_rels/drawing6.xml.rels><?xml version="1.0" encoding="UTF-8" standalone="yes"?>
<Relationships xmlns="http://schemas.openxmlformats.org/package/2006/relationships"><Relationship Id="rId2" Type="http://schemas.openxmlformats.org/officeDocument/2006/relationships/chart" Target="../charts/chart10.xml"/><Relationship Id="rId1" Type="http://schemas.openxmlformats.org/officeDocument/2006/relationships/chart" Target="../charts/chart9.xml"/></Relationships>
</file>

<file path=xl/drawings/_rels/drawing7.xml.rels><?xml version="1.0" encoding="UTF-8" standalone="yes"?>
<Relationships xmlns="http://schemas.openxmlformats.org/package/2006/relationships"><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editAs="oneCell">
    <xdr:from>
      <xdr:col>17</xdr:col>
      <xdr:colOff>323850</xdr:colOff>
      <xdr:row>0</xdr:row>
      <xdr:rowOff>28575</xdr:rowOff>
    </xdr:from>
    <xdr:to>
      <xdr:col>21</xdr:col>
      <xdr:colOff>444500</xdr:colOff>
      <xdr:row>26</xdr:row>
      <xdr:rowOff>63692</xdr:rowOff>
    </xdr:to>
    <xdr:pic>
      <xdr:nvPicPr>
        <xdr:cNvPr id="6" name="Picture 5" descr="Map of Marbled murrelet strata in Northwest Washington. ">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706100" y="28575"/>
          <a:ext cx="4124325" cy="53373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504825</xdr:colOff>
      <xdr:row>13</xdr:row>
      <xdr:rowOff>85725</xdr:rowOff>
    </xdr:from>
    <xdr:to>
      <xdr:col>15</xdr:col>
      <xdr:colOff>200025</xdr:colOff>
      <xdr:row>29</xdr:row>
      <xdr:rowOff>114300</xdr:rowOff>
    </xdr:to>
    <xdr:graphicFrame macro="">
      <xdr:nvGraphicFramePr>
        <xdr:cNvPr id="2" name="Chart 1">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352425</xdr:colOff>
      <xdr:row>32</xdr:row>
      <xdr:rowOff>28574</xdr:rowOff>
    </xdr:from>
    <xdr:to>
      <xdr:col>15</xdr:col>
      <xdr:colOff>28575</xdr:colOff>
      <xdr:row>45</xdr:row>
      <xdr:rowOff>133349</xdr:rowOff>
    </xdr:to>
    <xdr:graphicFrame macro="">
      <xdr:nvGraphicFramePr>
        <xdr:cNvPr id="3" name="Chart 2">
          <a:extLst>
            <a:ext uri="{FF2B5EF4-FFF2-40B4-BE49-F238E27FC236}">
              <a16:creationId xmlns:a16="http://schemas.microsoft.com/office/drawing/2014/main"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123824</xdr:colOff>
      <xdr:row>61</xdr:row>
      <xdr:rowOff>381000</xdr:rowOff>
    </xdr:from>
    <xdr:to>
      <xdr:col>18</xdr:col>
      <xdr:colOff>276225</xdr:colOff>
      <xdr:row>78</xdr:row>
      <xdr:rowOff>28575</xdr:rowOff>
    </xdr:to>
    <xdr:graphicFrame macro="">
      <xdr:nvGraphicFramePr>
        <xdr:cNvPr id="4" name="Chart 3">
          <a:extLst>
            <a:ext uri="{FF2B5EF4-FFF2-40B4-BE49-F238E27FC236}">
              <a16:creationId xmlns:a16="http://schemas.microsoft.com/office/drawing/2014/main" id="{00000000-0008-0000-05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276224</xdr:colOff>
      <xdr:row>85</xdr:row>
      <xdr:rowOff>447675</xdr:rowOff>
    </xdr:from>
    <xdr:to>
      <xdr:col>19</xdr:col>
      <xdr:colOff>123824</xdr:colOff>
      <xdr:row>102</xdr:row>
      <xdr:rowOff>95250</xdr:rowOff>
    </xdr:to>
    <xdr:graphicFrame macro="">
      <xdr:nvGraphicFramePr>
        <xdr:cNvPr id="5" name="Chart 4">
          <a:extLst>
            <a:ext uri="{FF2B5EF4-FFF2-40B4-BE49-F238E27FC236}">
              <a16:creationId xmlns:a16="http://schemas.microsoft.com/office/drawing/2014/main" id="{00000000-0008-0000-05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8</xdr:col>
      <xdr:colOff>0</xdr:colOff>
      <xdr:row>125</xdr:row>
      <xdr:rowOff>0</xdr:rowOff>
    </xdr:from>
    <xdr:to>
      <xdr:col>19</xdr:col>
      <xdr:colOff>457200</xdr:colOff>
      <xdr:row>143</xdr:row>
      <xdr:rowOff>28575</xdr:rowOff>
    </xdr:to>
    <xdr:graphicFrame macro="">
      <xdr:nvGraphicFramePr>
        <xdr:cNvPr id="6" name="Chart 5">
          <a:extLst>
            <a:ext uri="{FF2B5EF4-FFF2-40B4-BE49-F238E27FC236}">
              <a16:creationId xmlns:a16="http://schemas.microsoft.com/office/drawing/2014/main" id="{00000000-0008-0000-05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8</xdr:col>
      <xdr:colOff>0</xdr:colOff>
      <xdr:row>147</xdr:row>
      <xdr:rowOff>0</xdr:rowOff>
    </xdr:from>
    <xdr:to>
      <xdr:col>19</xdr:col>
      <xdr:colOff>457200</xdr:colOff>
      <xdr:row>165</xdr:row>
      <xdr:rowOff>28575</xdr:rowOff>
    </xdr:to>
    <xdr:graphicFrame macro="">
      <xdr:nvGraphicFramePr>
        <xdr:cNvPr id="7" name="Chart 6">
          <a:extLst>
            <a:ext uri="{FF2B5EF4-FFF2-40B4-BE49-F238E27FC236}">
              <a16:creationId xmlns:a16="http://schemas.microsoft.com/office/drawing/2014/main" id="{00000000-0008-0000-05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15</xdr:col>
      <xdr:colOff>600075</xdr:colOff>
      <xdr:row>9</xdr:row>
      <xdr:rowOff>0</xdr:rowOff>
    </xdr:from>
    <xdr:to>
      <xdr:col>25</xdr:col>
      <xdr:colOff>57150</xdr:colOff>
      <xdr:row>34</xdr:row>
      <xdr:rowOff>95250</xdr:rowOff>
    </xdr:to>
    <xdr:graphicFrame macro="">
      <xdr:nvGraphicFramePr>
        <xdr:cNvPr id="8" name="Chart 7">
          <a:extLst>
            <a:ext uri="{FF2B5EF4-FFF2-40B4-BE49-F238E27FC236}">
              <a16:creationId xmlns:a16="http://schemas.microsoft.com/office/drawing/2014/main" id="{00000000-0008-0000-05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247650</xdr:colOff>
      <xdr:row>30</xdr:row>
      <xdr:rowOff>123825</xdr:rowOff>
    </xdr:from>
    <xdr:to>
      <xdr:col>9</xdr:col>
      <xdr:colOff>504825</xdr:colOff>
      <xdr:row>31</xdr:row>
      <xdr:rowOff>247651</xdr:rowOff>
    </xdr:to>
    <xdr:pic>
      <xdr:nvPicPr>
        <xdr:cNvPr id="2" name="Picture 3" descr="FWSCOLOR">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439025" y="6324600"/>
          <a:ext cx="2571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9</xdr:col>
      <xdr:colOff>247650</xdr:colOff>
      <xdr:row>30</xdr:row>
      <xdr:rowOff>123825</xdr:rowOff>
    </xdr:from>
    <xdr:to>
      <xdr:col>9</xdr:col>
      <xdr:colOff>504825</xdr:colOff>
      <xdr:row>32</xdr:row>
      <xdr:rowOff>66675</xdr:rowOff>
    </xdr:to>
    <xdr:pic>
      <xdr:nvPicPr>
        <xdr:cNvPr id="2" name="Picture 3" descr="FWSCOLOR">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829550" y="6238875"/>
          <a:ext cx="2571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2</xdr:col>
      <xdr:colOff>628650</xdr:colOff>
      <xdr:row>55</xdr:row>
      <xdr:rowOff>133350</xdr:rowOff>
    </xdr:from>
    <xdr:to>
      <xdr:col>13</xdr:col>
      <xdr:colOff>89807</xdr:colOff>
      <xdr:row>83</xdr:row>
      <xdr:rowOff>85724</xdr:rowOff>
    </xdr:to>
    <xdr:graphicFrame macro="">
      <xdr:nvGraphicFramePr>
        <xdr:cNvPr id="2" name="Chart 1" descr="Graph depicting summer marbled murrelet density by stratum from 2001 to 2016.">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5</xdr:col>
      <xdr:colOff>464343</xdr:colOff>
      <xdr:row>45</xdr:row>
      <xdr:rowOff>152399</xdr:rowOff>
    </xdr:from>
    <xdr:to>
      <xdr:col>11</xdr:col>
      <xdr:colOff>738186</xdr:colOff>
      <xdr:row>64</xdr:row>
      <xdr:rowOff>71437</xdr:rowOff>
    </xdr:to>
    <xdr:graphicFrame macro="">
      <xdr:nvGraphicFramePr>
        <xdr:cNvPr id="2" name="Chart 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464343</xdr:colOff>
      <xdr:row>46</xdr:row>
      <xdr:rowOff>71437</xdr:rowOff>
    </xdr:from>
    <xdr:to>
      <xdr:col>24</xdr:col>
      <xdr:colOff>547686</xdr:colOff>
      <xdr:row>64</xdr:row>
      <xdr:rowOff>130968</xdr:rowOff>
    </xdr:to>
    <xdr:graphicFrame macro="">
      <xdr:nvGraphicFramePr>
        <xdr:cNvPr id="3" name="Chart 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editAs="oneCell">
    <xdr:from>
      <xdr:col>6</xdr:col>
      <xdr:colOff>295275</xdr:colOff>
      <xdr:row>4</xdr:row>
      <xdr:rowOff>57150</xdr:rowOff>
    </xdr:from>
    <xdr:to>
      <xdr:col>7</xdr:col>
      <xdr:colOff>238919</xdr:colOff>
      <xdr:row>8</xdr:row>
      <xdr:rowOff>11555</xdr:rowOff>
    </xdr:to>
    <xdr:pic>
      <xdr:nvPicPr>
        <xdr:cNvPr id="2" name="Picture 3" descr="FWSCOLOR">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086600" y="1066800"/>
          <a:ext cx="559594" cy="707674"/>
        </a:xfrm>
        <a:prstGeom prst="rect">
          <a:avLst/>
        </a:prstGeom>
        <a:noFill/>
        <a:ln w="9525">
          <a:noFill/>
          <a:miter lim="800000"/>
          <a:headEnd/>
          <a:tailEnd/>
        </a:ln>
        <a:extLst>
          <a:ext uri="{909E8E84-426E-40DD-AFC4-6F175D3DCCD1}">
            <a14:hiddenFill xmlns:a14="http://schemas.microsoft.com/office/drawing/2010/main">
              <a:solidFill>
                <a:srgbClr val="FFFFFF"/>
              </a:solidFill>
            </a14:hiddenFill>
          </a:ext>
        </a:extLst>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10.bin"/><Relationship Id="rId4" Type="http://schemas.openxmlformats.org/officeDocument/2006/relationships/comments" Target="../comments5.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hyperlink" Target="file:///C:\AppData\Roaming\Microsoft\Excel\Forms\AllItems.aspx" TargetMode="External"/><Relationship Id="rId1" Type="http://schemas.openxmlformats.org/officeDocument/2006/relationships/hyperlink" Target="http://stattrek.com/online-calculator/poisson.aspx" TargetMode="External"/><Relationship Id="rId4" Type="http://schemas.openxmlformats.org/officeDocument/2006/relationships/drawing" Target="../drawings/drawing7.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8.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V49"/>
  <sheetViews>
    <sheetView topLeftCell="J1" zoomScaleNormal="100" workbookViewId="0"/>
  </sheetViews>
  <sheetFormatPr defaultColWidth="9.21875" defaultRowHeight="13.8" x14ac:dyDescent="0.3"/>
  <cols>
    <col min="1" max="1" width="2.5546875" style="709" customWidth="1"/>
    <col min="2" max="2" width="2.77734375" style="709" customWidth="1"/>
    <col min="3" max="3" width="2.77734375" style="643" customWidth="1"/>
    <col min="4" max="4" width="2.77734375" style="709" customWidth="1"/>
    <col min="5" max="5" width="2.5546875" style="709" customWidth="1"/>
    <col min="6" max="11" width="15" style="709" customWidth="1"/>
    <col min="12" max="12" width="1.77734375" style="709" customWidth="1"/>
    <col min="13" max="13" width="2.5546875" style="709" customWidth="1"/>
    <col min="14" max="16" width="15" style="709" customWidth="1"/>
    <col min="17" max="17" width="2.5546875" style="709" customWidth="1"/>
    <col min="18" max="23" width="15" style="709" customWidth="1"/>
    <col min="24" max="16384" width="9.21875" style="709"/>
  </cols>
  <sheetData>
    <row r="1" spans="1:22" ht="21" customHeight="1" x14ac:dyDescent="0.3">
      <c r="A1" s="753" t="s">
        <v>0</v>
      </c>
      <c r="B1" s="754"/>
      <c r="C1" s="755"/>
      <c r="D1" s="754"/>
      <c r="E1" s="754"/>
      <c r="F1" s="754"/>
      <c r="G1" s="754"/>
      <c r="H1" s="754"/>
      <c r="I1" s="754"/>
      <c r="J1" s="754"/>
      <c r="K1" s="754"/>
      <c r="L1" s="880"/>
      <c r="M1" s="880"/>
      <c r="N1" s="860"/>
      <c r="O1" s="861"/>
      <c r="P1" s="425"/>
      <c r="Q1" s="880"/>
      <c r="R1" s="880"/>
      <c r="S1" s="880"/>
      <c r="T1" s="880"/>
      <c r="U1" s="880"/>
      <c r="V1" s="880"/>
    </row>
    <row r="2" spans="1:22" s="835" customFormat="1" ht="4.5" customHeight="1" x14ac:dyDescent="0.3">
      <c r="A2" s="753"/>
      <c r="B2" s="754"/>
      <c r="C2" s="755"/>
      <c r="D2" s="754"/>
      <c r="E2" s="754"/>
      <c r="F2" s="754"/>
      <c r="G2" s="754"/>
      <c r="H2" s="754"/>
      <c r="I2" s="754"/>
      <c r="J2" s="754"/>
      <c r="K2" s="754"/>
      <c r="L2" s="880"/>
      <c r="M2" s="880"/>
      <c r="N2" s="880"/>
      <c r="O2" s="880"/>
      <c r="P2" s="880"/>
      <c r="Q2" s="880"/>
      <c r="R2" s="880"/>
      <c r="S2" s="880"/>
      <c r="T2" s="880"/>
      <c r="U2" s="880"/>
      <c r="V2" s="880"/>
    </row>
    <row r="3" spans="1:22" s="835" customFormat="1" ht="36" customHeight="1" x14ac:dyDescent="0.3">
      <c r="A3" s="836"/>
      <c r="B3" s="1054" t="s">
        <v>1</v>
      </c>
      <c r="C3" s="1054"/>
      <c r="D3" s="1054"/>
      <c r="E3" s="1054"/>
      <c r="F3" s="1054"/>
      <c r="G3" s="1054"/>
      <c r="H3" s="1054"/>
      <c r="I3" s="1054"/>
      <c r="J3" s="1054"/>
      <c r="K3" s="1054"/>
      <c r="L3" s="1054"/>
      <c r="M3" s="1054"/>
      <c r="N3" s="1054"/>
      <c r="O3" s="1054"/>
      <c r="P3" s="1054"/>
      <c r="Q3" s="837"/>
      <c r="R3" s="880"/>
      <c r="S3" s="880"/>
      <c r="T3" s="880"/>
      <c r="U3" s="880"/>
      <c r="V3" s="880"/>
    </row>
    <row r="4" spans="1:22" s="748" customFormat="1" ht="4.5" customHeight="1" x14ac:dyDescent="0.3">
      <c r="A4" s="303"/>
      <c r="B4" s="880"/>
      <c r="C4" s="979"/>
      <c r="D4" s="880"/>
      <c r="E4" s="880"/>
      <c r="F4" s="880"/>
      <c r="G4" s="880"/>
      <c r="H4" s="880"/>
      <c r="I4" s="880"/>
      <c r="J4" s="880"/>
      <c r="K4" s="880"/>
      <c r="L4" s="880"/>
      <c r="M4" s="880"/>
      <c r="N4" s="880"/>
      <c r="O4" s="880"/>
      <c r="P4" s="880"/>
      <c r="Q4" s="880"/>
      <c r="R4" s="880"/>
      <c r="S4" s="880"/>
      <c r="T4" s="880"/>
      <c r="U4" s="880"/>
      <c r="V4" s="880"/>
    </row>
    <row r="5" spans="1:22" x14ac:dyDescent="0.3">
      <c r="A5" s="303" t="s">
        <v>2</v>
      </c>
      <c r="B5" s="880"/>
      <c r="C5" s="979"/>
      <c r="D5" s="880"/>
      <c r="E5" s="880"/>
      <c r="F5" s="880"/>
      <c r="G5" s="880"/>
      <c r="H5" s="880"/>
      <c r="I5" s="880"/>
      <c r="J5" s="880"/>
      <c r="K5" s="880"/>
      <c r="L5" s="880"/>
      <c r="M5" s="942"/>
      <c r="N5" s="942"/>
      <c r="O5" s="942"/>
      <c r="P5" s="942"/>
      <c r="Q5" s="942"/>
      <c r="R5" s="942"/>
      <c r="S5" s="942"/>
      <c r="T5" s="942"/>
      <c r="U5" s="942"/>
      <c r="V5" s="942"/>
    </row>
    <row r="6" spans="1:22" ht="18" customHeight="1" x14ac:dyDescent="0.3">
      <c r="A6" s="880"/>
      <c r="B6" s="840" t="s">
        <v>3</v>
      </c>
      <c r="C6" s="1042" t="s">
        <v>4</v>
      </c>
      <c r="D6" s="1042"/>
      <c r="E6" s="1042"/>
      <c r="F6" s="1042"/>
      <c r="G6" s="1042"/>
      <c r="H6" s="1042"/>
      <c r="I6" s="1042"/>
      <c r="J6" s="1042"/>
      <c r="K6" s="1042"/>
      <c r="L6" s="1042"/>
      <c r="M6" s="1042"/>
      <c r="N6" s="1042"/>
      <c r="O6" s="1042"/>
      <c r="P6" s="1043"/>
      <c r="Q6" s="841"/>
      <c r="R6" s="841"/>
      <c r="S6" s="841"/>
      <c r="T6" s="841"/>
      <c r="U6" s="841"/>
      <c r="V6" s="841"/>
    </row>
    <row r="7" spans="1:22" ht="18" customHeight="1" x14ac:dyDescent="0.3">
      <c r="A7" s="880"/>
      <c r="B7" s="842"/>
      <c r="C7" s="843" t="s">
        <v>5</v>
      </c>
      <c r="D7" s="1055" t="s">
        <v>6</v>
      </c>
      <c r="E7" s="1055"/>
      <c r="F7" s="1055"/>
      <c r="G7" s="1055"/>
      <c r="H7" s="1055"/>
      <c r="I7" s="1055"/>
      <c r="J7" s="1055"/>
      <c r="K7" s="1055"/>
      <c r="L7" s="1055"/>
      <c r="M7" s="1055"/>
      <c r="N7" s="1055"/>
      <c r="O7" s="1055"/>
      <c r="P7" s="1056"/>
      <c r="Q7" s="841"/>
      <c r="R7" s="841"/>
      <c r="S7" s="841"/>
      <c r="T7" s="841"/>
      <c r="U7" s="841"/>
      <c r="V7" s="841"/>
    </row>
    <row r="8" spans="1:22" s="880" customFormat="1" ht="30" customHeight="1" x14ac:dyDescent="0.3">
      <c r="B8" s="844"/>
      <c r="C8" s="845" t="s">
        <v>7</v>
      </c>
      <c r="D8" s="1050" t="s">
        <v>8</v>
      </c>
      <c r="E8" s="1050"/>
      <c r="F8" s="1050"/>
      <c r="G8" s="1050"/>
      <c r="H8" s="1050"/>
      <c r="I8" s="1050"/>
      <c r="J8" s="1050"/>
      <c r="K8" s="1050"/>
      <c r="L8" s="1050"/>
      <c r="M8" s="1050"/>
      <c r="N8" s="1050"/>
      <c r="O8" s="1050"/>
      <c r="P8" s="1051"/>
      <c r="Q8" s="841"/>
      <c r="R8" s="841"/>
      <c r="S8" s="841"/>
      <c r="T8" s="841"/>
      <c r="U8" s="841"/>
      <c r="V8" s="841"/>
    </row>
    <row r="9" spans="1:22" s="287" customFormat="1" ht="4.5" customHeight="1" x14ac:dyDescent="0.3">
      <c r="A9" s="942"/>
      <c r="B9" s="846"/>
      <c r="C9" s="960"/>
      <c r="D9" s="960"/>
      <c r="E9" s="960"/>
      <c r="F9" s="960"/>
      <c r="G9" s="960"/>
      <c r="H9" s="960"/>
      <c r="I9" s="960"/>
      <c r="J9" s="960"/>
      <c r="K9" s="960"/>
      <c r="L9" s="841"/>
      <c r="M9" s="846"/>
      <c r="N9" s="960"/>
      <c r="O9" s="960"/>
      <c r="P9" s="960"/>
      <c r="Q9" s="960"/>
      <c r="R9" s="960"/>
      <c r="S9" s="960"/>
      <c r="T9" s="960"/>
      <c r="U9" s="960"/>
      <c r="V9" s="960"/>
    </row>
    <row r="10" spans="1:22" ht="18" customHeight="1" x14ac:dyDescent="0.3">
      <c r="A10" s="880"/>
      <c r="B10" s="847" t="s">
        <v>9</v>
      </c>
      <c r="C10" s="1052" t="s">
        <v>10</v>
      </c>
      <c r="D10" s="1052"/>
      <c r="E10" s="1052"/>
      <c r="F10" s="1052"/>
      <c r="G10" s="1052"/>
      <c r="H10" s="1052"/>
      <c r="I10" s="1052"/>
      <c r="J10" s="1052"/>
      <c r="K10" s="1052"/>
      <c r="L10" s="1052"/>
      <c r="M10" s="1052"/>
      <c r="N10" s="1052"/>
      <c r="O10" s="1052"/>
      <c r="P10" s="1053"/>
      <c r="Q10" s="841"/>
      <c r="R10" s="841"/>
      <c r="S10" s="841"/>
      <c r="T10" s="841"/>
      <c r="U10" s="841"/>
      <c r="V10" s="841"/>
    </row>
    <row r="11" spans="1:22" s="287" customFormat="1" ht="4.5" customHeight="1" x14ac:dyDescent="0.3">
      <c r="A11" s="942"/>
      <c r="B11" s="846"/>
      <c r="C11" s="960"/>
      <c r="D11" s="960"/>
      <c r="E11" s="960"/>
      <c r="F11" s="960"/>
      <c r="G11" s="960"/>
      <c r="H11" s="960"/>
      <c r="I11" s="960"/>
      <c r="J11" s="960"/>
      <c r="K11" s="960"/>
      <c r="L11" s="841"/>
      <c r="M11" s="846"/>
      <c r="N11" s="960"/>
      <c r="O11" s="960"/>
      <c r="P11" s="960"/>
      <c r="Q11" s="960"/>
      <c r="R11" s="960"/>
      <c r="S11" s="960"/>
      <c r="T11" s="960"/>
      <c r="U11" s="960"/>
      <c r="V11" s="960"/>
    </row>
    <row r="12" spans="1:22" ht="18" customHeight="1" x14ac:dyDescent="0.3">
      <c r="A12" s="880"/>
      <c r="B12" s="847" t="s">
        <v>11</v>
      </c>
      <c r="C12" s="1052" t="s">
        <v>12</v>
      </c>
      <c r="D12" s="1052"/>
      <c r="E12" s="1052"/>
      <c r="F12" s="1052"/>
      <c r="G12" s="1052"/>
      <c r="H12" s="1052"/>
      <c r="I12" s="1052"/>
      <c r="J12" s="1052"/>
      <c r="K12" s="1052"/>
      <c r="L12" s="1052"/>
      <c r="M12" s="1052"/>
      <c r="N12" s="1052"/>
      <c r="O12" s="1052"/>
      <c r="P12" s="1053"/>
      <c r="Q12" s="841"/>
      <c r="R12" s="841"/>
      <c r="S12" s="841"/>
      <c r="T12" s="841"/>
      <c r="U12" s="841"/>
      <c r="V12" s="841"/>
    </row>
    <row r="13" spans="1:22" s="287" customFormat="1" ht="4.5" customHeight="1" x14ac:dyDescent="0.3">
      <c r="A13" s="942"/>
      <c r="B13" s="846"/>
      <c r="C13" s="960"/>
      <c r="D13" s="960"/>
      <c r="E13" s="960"/>
      <c r="F13" s="960"/>
      <c r="G13" s="960"/>
      <c r="H13" s="960"/>
      <c r="I13" s="960"/>
      <c r="J13" s="960"/>
      <c r="K13" s="960"/>
      <c r="L13" s="841"/>
      <c r="M13" s="846"/>
      <c r="N13" s="960"/>
      <c r="O13" s="960"/>
      <c r="P13" s="960"/>
      <c r="Q13" s="960"/>
      <c r="R13" s="960"/>
      <c r="S13" s="960"/>
      <c r="T13" s="960"/>
      <c r="U13" s="960"/>
      <c r="V13" s="960"/>
    </row>
    <row r="14" spans="1:22" ht="18" customHeight="1" x14ac:dyDescent="0.3">
      <c r="A14" s="880"/>
      <c r="B14" s="848" t="s">
        <v>13</v>
      </c>
      <c r="C14" s="1042" t="s">
        <v>14</v>
      </c>
      <c r="D14" s="1042"/>
      <c r="E14" s="1042"/>
      <c r="F14" s="1042"/>
      <c r="G14" s="1042"/>
      <c r="H14" s="1042"/>
      <c r="I14" s="1042"/>
      <c r="J14" s="1042"/>
      <c r="K14" s="1042"/>
      <c r="L14" s="1042"/>
      <c r="M14" s="1042"/>
      <c r="N14" s="1042"/>
      <c r="O14" s="1042"/>
      <c r="P14" s="1043"/>
      <c r="Q14" s="841"/>
      <c r="R14" s="841"/>
      <c r="S14" s="841"/>
      <c r="T14" s="841"/>
      <c r="U14" s="841"/>
      <c r="V14" s="841"/>
    </row>
    <row r="15" spans="1:22" ht="47.25" customHeight="1" x14ac:dyDescent="0.3">
      <c r="A15" s="880"/>
      <c r="B15" s="849"/>
      <c r="C15" s="1038" t="s">
        <v>15</v>
      </c>
      <c r="D15" s="1038"/>
      <c r="E15" s="1038"/>
      <c r="F15" s="1038"/>
      <c r="G15" s="1038"/>
      <c r="H15" s="1038"/>
      <c r="I15" s="1038"/>
      <c r="J15" s="1038"/>
      <c r="K15" s="1038"/>
      <c r="L15" s="1038"/>
      <c r="M15" s="1038"/>
      <c r="N15" s="1038"/>
      <c r="O15" s="1038"/>
      <c r="P15" s="1039"/>
      <c r="Q15" s="841"/>
      <c r="R15" s="841"/>
      <c r="S15" s="841"/>
      <c r="T15" s="841"/>
      <c r="U15" s="841"/>
      <c r="V15" s="841"/>
    </row>
    <row r="16" spans="1:22" s="287" customFormat="1" ht="4.5" customHeight="1" x14ac:dyDescent="0.3">
      <c r="A16" s="942"/>
      <c r="B16" s="846"/>
      <c r="C16" s="960"/>
      <c r="D16" s="960"/>
      <c r="E16" s="960"/>
      <c r="F16" s="960"/>
      <c r="G16" s="960"/>
      <c r="H16" s="960"/>
      <c r="I16" s="960"/>
      <c r="J16" s="960"/>
      <c r="K16" s="960"/>
      <c r="L16" s="841"/>
      <c r="M16" s="846"/>
      <c r="N16" s="960"/>
      <c r="O16" s="960"/>
      <c r="P16" s="960"/>
      <c r="Q16" s="960"/>
      <c r="R16" s="960"/>
      <c r="S16" s="960"/>
      <c r="T16" s="960"/>
      <c r="U16" s="960"/>
      <c r="V16" s="960"/>
    </row>
    <row r="17" spans="1:22" ht="18" customHeight="1" x14ac:dyDescent="0.3">
      <c r="A17" s="880"/>
      <c r="B17" s="847" t="s">
        <v>16</v>
      </c>
      <c r="C17" s="1052" t="s">
        <v>17</v>
      </c>
      <c r="D17" s="1052"/>
      <c r="E17" s="1052"/>
      <c r="F17" s="1052"/>
      <c r="G17" s="1052"/>
      <c r="H17" s="1052"/>
      <c r="I17" s="1052"/>
      <c r="J17" s="1052"/>
      <c r="K17" s="1052"/>
      <c r="L17" s="1052"/>
      <c r="M17" s="1052"/>
      <c r="N17" s="1052"/>
      <c r="O17" s="1052"/>
      <c r="P17" s="1053"/>
      <c r="Q17" s="841"/>
      <c r="R17" s="841"/>
      <c r="S17" s="841"/>
      <c r="T17" s="841"/>
      <c r="U17" s="841"/>
      <c r="V17" s="841"/>
    </row>
    <row r="18" spans="1:22" s="287" customFormat="1" ht="4.5" customHeight="1" x14ac:dyDescent="0.3">
      <c r="A18" s="942"/>
      <c r="B18" s="846"/>
      <c r="C18" s="960"/>
      <c r="D18" s="960"/>
      <c r="E18" s="960"/>
      <c r="F18" s="960"/>
      <c r="G18" s="960"/>
      <c r="H18" s="960"/>
      <c r="I18" s="960"/>
      <c r="J18" s="960"/>
      <c r="K18" s="960"/>
      <c r="L18" s="841"/>
      <c r="M18" s="846"/>
      <c r="N18" s="960"/>
      <c r="O18" s="960"/>
      <c r="P18" s="960"/>
      <c r="Q18" s="960"/>
      <c r="R18" s="960"/>
      <c r="S18" s="960"/>
      <c r="T18" s="960"/>
      <c r="U18" s="960"/>
      <c r="V18" s="960"/>
    </row>
    <row r="19" spans="1:22" ht="18" customHeight="1" x14ac:dyDescent="0.3">
      <c r="A19" s="880"/>
      <c r="B19" s="848" t="s">
        <v>18</v>
      </c>
      <c r="C19" s="1042" t="s">
        <v>19</v>
      </c>
      <c r="D19" s="1042"/>
      <c r="E19" s="1042"/>
      <c r="F19" s="1042"/>
      <c r="G19" s="1042"/>
      <c r="H19" s="1042"/>
      <c r="I19" s="1042"/>
      <c r="J19" s="1042"/>
      <c r="K19" s="1042"/>
      <c r="L19" s="1042"/>
      <c r="M19" s="1042"/>
      <c r="N19" s="1042"/>
      <c r="O19" s="1042"/>
      <c r="P19" s="1043"/>
      <c r="Q19" s="841"/>
      <c r="R19" s="841"/>
      <c r="S19" s="841"/>
      <c r="T19" s="841"/>
      <c r="U19" s="841"/>
      <c r="V19" s="841"/>
    </row>
    <row r="20" spans="1:22" ht="18" customHeight="1" x14ac:dyDescent="0.3">
      <c r="A20" s="880"/>
      <c r="B20" s="850"/>
      <c r="C20" s="851" t="s">
        <v>5</v>
      </c>
      <c r="D20" s="1055" t="s">
        <v>20</v>
      </c>
      <c r="E20" s="1055"/>
      <c r="F20" s="1055"/>
      <c r="G20" s="1055"/>
      <c r="H20" s="1055"/>
      <c r="I20" s="1055"/>
      <c r="J20" s="1055"/>
      <c r="K20" s="1055"/>
      <c r="L20" s="1055"/>
      <c r="M20" s="1055"/>
      <c r="N20" s="1055"/>
      <c r="O20" s="1055"/>
      <c r="P20" s="1056"/>
      <c r="Q20" s="841"/>
      <c r="R20" s="841"/>
      <c r="S20" s="841"/>
      <c r="T20" s="841"/>
      <c r="U20" s="841"/>
      <c r="V20" s="841"/>
    </row>
    <row r="21" spans="1:22" ht="18" customHeight="1" x14ac:dyDescent="0.3">
      <c r="A21" s="880"/>
      <c r="B21" s="850"/>
      <c r="C21" s="960"/>
      <c r="D21" s="961" t="s">
        <v>21</v>
      </c>
      <c r="E21" s="1057" t="s">
        <v>22</v>
      </c>
      <c r="F21" s="1057"/>
      <c r="G21" s="1057"/>
      <c r="H21" s="1057"/>
      <c r="I21" s="1057"/>
      <c r="J21" s="1057"/>
      <c r="K21" s="1057"/>
      <c r="L21" s="1057"/>
      <c r="M21" s="1057"/>
      <c r="N21" s="1057"/>
      <c r="O21" s="1057"/>
      <c r="P21" s="1058"/>
      <c r="Q21" s="841"/>
      <c r="R21" s="841"/>
      <c r="S21" s="841"/>
      <c r="T21" s="841"/>
      <c r="U21" s="841"/>
      <c r="V21" s="841"/>
    </row>
    <row r="22" spans="1:22" ht="18" customHeight="1" x14ac:dyDescent="0.3">
      <c r="A22" s="880"/>
      <c r="B22" s="850"/>
      <c r="C22" s="960"/>
      <c r="D22" s="961" t="s">
        <v>21</v>
      </c>
      <c r="E22" s="1057" t="s">
        <v>23</v>
      </c>
      <c r="F22" s="1057"/>
      <c r="G22" s="1057"/>
      <c r="H22" s="1057"/>
      <c r="I22" s="1057"/>
      <c r="J22" s="1057"/>
      <c r="K22" s="1057"/>
      <c r="L22" s="1057"/>
      <c r="M22" s="1057"/>
      <c r="N22" s="1057"/>
      <c r="O22" s="1057"/>
      <c r="P22" s="1058"/>
      <c r="Q22" s="841"/>
      <c r="R22" s="841"/>
      <c r="S22" s="841"/>
      <c r="T22" s="841"/>
      <c r="U22" s="841"/>
      <c r="V22" s="841"/>
    </row>
    <row r="23" spans="1:22" ht="30" customHeight="1" x14ac:dyDescent="0.3">
      <c r="A23" s="880"/>
      <c r="B23" s="852"/>
      <c r="C23" s="845" t="s">
        <v>24</v>
      </c>
      <c r="D23" s="1038" t="s">
        <v>25</v>
      </c>
      <c r="E23" s="1038"/>
      <c r="F23" s="1038"/>
      <c r="G23" s="1038"/>
      <c r="H23" s="1038"/>
      <c r="I23" s="1038"/>
      <c r="J23" s="1038"/>
      <c r="K23" s="1038"/>
      <c r="L23" s="1038"/>
      <c r="M23" s="1038"/>
      <c r="N23" s="1038"/>
      <c r="O23" s="1038"/>
      <c r="P23" s="1039"/>
      <c r="Q23" s="841"/>
      <c r="R23" s="841"/>
      <c r="S23" s="841"/>
      <c r="T23" s="841"/>
      <c r="U23" s="841"/>
      <c r="V23" s="841"/>
    </row>
    <row r="24" spans="1:22" s="287" customFormat="1" ht="4.5" customHeight="1" x14ac:dyDescent="0.3">
      <c r="A24" s="942"/>
      <c r="B24" s="846"/>
      <c r="C24" s="960"/>
      <c r="D24" s="960"/>
      <c r="E24" s="960"/>
      <c r="F24" s="960"/>
      <c r="G24" s="960"/>
      <c r="H24" s="960"/>
      <c r="I24" s="960"/>
      <c r="J24" s="960"/>
      <c r="K24" s="960"/>
      <c r="L24" s="841"/>
      <c r="M24" s="846"/>
      <c r="N24" s="960"/>
      <c r="O24" s="960"/>
      <c r="P24" s="960"/>
      <c r="Q24" s="960"/>
      <c r="R24" s="960"/>
      <c r="S24" s="960"/>
      <c r="T24" s="960"/>
      <c r="U24" s="960"/>
      <c r="V24" s="960"/>
    </row>
    <row r="25" spans="1:22" ht="18" customHeight="1" x14ac:dyDescent="0.3">
      <c r="A25" s="880"/>
      <c r="B25" s="847" t="s">
        <v>26</v>
      </c>
      <c r="C25" s="1052" t="s">
        <v>27</v>
      </c>
      <c r="D25" s="1052"/>
      <c r="E25" s="1052"/>
      <c r="F25" s="1052"/>
      <c r="G25" s="1052"/>
      <c r="H25" s="1052"/>
      <c r="I25" s="1052"/>
      <c r="J25" s="1052"/>
      <c r="K25" s="1052"/>
      <c r="L25" s="1052"/>
      <c r="M25" s="1052"/>
      <c r="N25" s="1052"/>
      <c r="O25" s="1052"/>
      <c r="P25" s="1053"/>
      <c r="Q25" s="841"/>
      <c r="R25" s="841"/>
      <c r="S25" s="841"/>
      <c r="T25" s="841"/>
      <c r="U25" s="841"/>
      <c r="V25" s="841"/>
    </row>
    <row r="26" spans="1:22" s="287" customFormat="1" ht="4.5" customHeight="1" x14ac:dyDescent="0.3">
      <c r="A26" s="942"/>
      <c r="B26" s="846"/>
      <c r="C26" s="960"/>
      <c r="D26" s="960"/>
      <c r="E26" s="960"/>
      <c r="F26" s="960"/>
      <c r="G26" s="960"/>
      <c r="H26" s="960"/>
      <c r="I26" s="960"/>
      <c r="J26" s="960"/>
      <c r="K26" s="960"/>
      <c r="L26" s="841"/>
      <c r="M26" s="846"/>
      <c r="N26" s="960"/>
      <c r="O26" s="960"/>
      <c r="P26" s="960"/>
      <c r="Q26" s="960"/>
      <c r="R26" s="960"/>
      <c r="S26" s="960"/>
      <c r="T26" s="960"/>
      <c r="U26" s="960"/>
      <c r="V26" s="960"/>
    </row>
    <row r="27" spans="1:22" ht="18" customHeight="1" x14ac:dyDescent="0.3">
      <c r="A27" s="880"/>
      <c r="B27" s="847" t="s">
        <v>28</v>
      </c>
      <c r="C27" s="1052" t="s">
        <v>29</v>
      </c>
      <c r="D27" s="1052"/>
      <c r="E27" s="1052"/>
      <c r="F27" s="1052"/>
      <c r="G27" s="1052"/>
      <c r="H27" s="1052"/>
      <c r="I27" s="1052"/>
      <c r="J27" s="1052"/>
      <c r="K27" s="1052"/>
      <c r="L27" s="1052"/>
      <c r="M27" s="1052"/>
      <c r="N27" s="1052"/>
      <c r="O27" s="1052"/>
      <c r="P27" s="1053"/>
      <c r="Q27" s="841"/>
      <c r="R27" s="841"/>
      <c r="S27" s="841"/>
      <c r="T27" s="841"/>
      <c r="U27" s="841"/>
      <c r="V27" s="841"/>
    </row>
    <row r="28" spans="1:22" ht="6" customHeight="1" x14ac:dyDescent="0.3">
      <c r="A28" s="880"/>
      <c r="B28" s="853"/>
      <c r="C28" s="853"/>
      <c r="D28" s="853"/>
      <c r="E28" s="853"/>
      <c r="F28" s="853"/>
      <c r="G28" s="853"/>
      <c r="H28" s="853"/>
      <c r="I28" s="853"/>
      <c r="J28" s="853"/>
      <c r="K28" s="853"/>
      <c r="L28" s="853"/>
      <c r="M28" s="841"/>
      <c r="N28" s="841"/>
      <c r="O28" s="841"/>
      <c r="P28" s="841"/>
      <c r="Q28" s="841"/>
      <c r="R28" s="841"/>
      <c r="S28" s="841"/>
      <c r="T28" s="841"/>
      <c r="U28" s="841"/>
      <c r="V28" s="841"/>
    </row>
    <row r="29" spans="1:22" ht="15.6" x14ac:dyDescent="0.3">
      <c r="A29" s="303" t="s">
        <v>30</v>
      </c>
      <c r="B29" s="853"/>
      <c r="C29" s="853"/>
      <c r="D29" s="853"/>
      <c r="E29" s="853"/>
      <c r="F29" s="853"/>
      <c r="G29" s="853"/>
      <c r="H29" s="853"/>
      <c r="I29" s="853"/>
      <c r="J29" s="853"/>
      <c r="K29" s="853"/>
      <c r="L29" s="853"/>
      <c r="M29" s="853"/>
      <c r="N29" s="853"/>
      <c r="O29" s="853"/>
      <c r="P29" s="853"/>
      <c r="Q29" s="853"/>
      <c r="R29" s="853"/>
      <c r="S29" s="853"/>
      <c r="T29" s="853"/>
      <c r="U29" s="853"/>
      <c r="V29" s="853"/>
    </row>
    <row r="30" spans="1:22" ht="30" customHeight="1" x14ac:dyDescent="0.3">
      <c r="A30" s="880"/>
      <c r="B30" s="959" t="s">
        <v>31</v>
      </c>
      <c r="C30" s="1042" t="s">
        <v>32</v>
      </c>
      <c r="D30" s="1042"/>
      <c r="E30" s="1042"/>
      <c r="F30" s="1042"/>
      <c r="G30" s="1042"/>
      <c r="H30" s="1042"/>
      <c r="I30" s="1042"/>
      <c r="J30" s="1042"/>
      <c r="K30" s="1043"/>
      <c r="L30" s="853"/>
      <c r="M30" s="959" t="s">
        <v>33</v>
      </c>
      <c r="N30" s="1042" t="s">
        <v>34</v>
      </c>
      <c r="O30" s="1042"/>
      <c r="P30" s="1042"/>
      <c r="Q30" s="1042"/>
      <c r="R30" s="1042"/>
      <c r="S30" s="1042"/>
      <c r="T30" s="1042"/>
      <c r="U30" s="1042"/>
      <c r="V30" s="1043"/>
    </row>
    <row r="31" spans="1:22" s="287" customFormat="1" ht="4.5" customHeight="1" x14ac:dyDescent="0.3">
      <c r="A31" s="942"/>
      <c r="B31" s="854"/>
      <c r="C31" s="957"/>
      <c r="D31" s="957"/>
      <c r="E31" s="957"/>
      <c r="F31" s="957"/>
      <c r="G31" s="957"/>
      <c r="H31" s="957"/>
      <c r="I31" s="957"/>
      <c r="J31" s="957"/>
      <c r="K31" s="957"/>
      <c r="L31" s="841"/>
      <c r="M31" s="854"/>
      <c r="N31" s="957"/>
      <c r="O31" s="957"/>
      <c r="P31" s="957"/>
      <c r="Q31" s="957"/>
      <c r="R31" s="957"/>
      <c r="S31" s="957"/>
      <c r="T31" s="957"/>
      <c r="U31" s="957"/>
      <c r="V31" s="957"/>
    </row>
    <row r="32" spans="1:22" ht="30" customHeight="1" x14ac:dyDescent="0.3">
      <c r="A32" s="880"/>
      <c r="B32" s="855" t="s">
        <v>35</v>
      </c>
      <c r="C32" s="1040" t="s">
        <v>36</v>
      </c>
      <c r="D32" s="1040"/>
      <c r="E32" s="1040"/>
      <c r="F32" s="1040"/>
      <c r="G32" s="1040"/>
      <c r="H32" s="1040"/>
      <c r="I32" s="1040"/>
      <c r="J32" s="1040"/>
      <c r="K32" s="1041"/>
      <c r="L32" s="853"/>
      <c r="M32" s="1048" t="s">
        <v>37</v>
      </c>
      <c r="N32" s="1042" t="s">
        <v>38</v>
      </c>
      <c r="O32" s="1042"/>
      <c r="P32" s="1042"/>
      <c r="Q32" s="1042"/>
      <c r="R32" s="1042"/>
      <c r="S32" s="1042"/>
      <c r="T32" s="1042"/>
      <c r="U32" s="1042"/>
      <c r="V32" s="1043"/>
    </row>
    <row r="33" spans="1:22" ht="18" customHeight="1" x14ac:dyDescent="0.3">
      <c r="A33" s="880"/>
      <c r="B33" s="856"/>
      <c r="C33" s="857" t="s">
        <v>5</v>
      </c>
      <c r="D33" s="1044" t="s">
        <v>39</v>
      </c>
      <c r="E33" s="1044"/>
      <c r="F33" s="1044"/>
      <c r="G33" s="1044"/>
      <c r="H33" s="1044"/>
      <c r="I33" s="1044"/>
      <c r="J33" s="1044"/>
      <c r="K33" s="1045"/>
      <c r="L33" s="853"/>
      <c r="M33" s="1049"/>
      <c r="N33" s="1050"/>
      <c r="O33" s="1050"/>
      <c r="P33" s="1050"/>
      <c r="Q33" s="1050"/>
      <c r="R33" s="1050"/>
      <c r="S33" s="1050"/>
      <c r="T33" s="1050"/>
      <c r="U33" s="1050"/>
      <c r="V33" s="1051"/>
    </row>
    <row r="34" spans="1:22" s="752" customFormat="1" ht="18" customHeight="1" x14ac:dyDescent="0.3">
      <c r="A34" s="880"/>
      <c r="B34" s="858"/>
      <c r="C34" s="859" t="s">
        <v>24</v>
      </c>
      <c r="D34" s="1046" t="s">
        <v>40</v>
      </c>
      <c r="E34" s="1046"/>
      <c r="F34" s="1046"/>
      <c r="G34" s="1046"/>
      <c r="H34" s="1046"/>
      <c r="I34" s="1046"/>
      <c r="J34" s="1046"/>
      <c r="K34" s="1047"/>
      <c r="L34" s="853"/>
      <c r="M34" s="853"/>
      <c r="N34" s="853"/>
      <c r="O34" s="853"/>
      <c r="P34" s="853"/>
      <c r="Q34" s="853"/>
      <c r="R34" s="853"/>
      <c r="S34" s="853"/>
      <c r="T34" s="853"/>
      <c r="U34" s="853"/>
      <c r="V34" s="853"/>
    </row>
    <row r="35" spans="1:22" s="838" customFormat="1" ht="15" customHeight="1" x14ac:dyDescent="0.3">
      <c r="A35" s="880"/>
      <c r="B35" s="841"/>
      <c r="C35" s="857"/>
      <c r="D35" s="958"/>
      <c r="E35" s="958"/>
      <c r="F35" s="958"/>
      <c r="G35" s="958"/>
      <c r="H35" s="958"/>
      <c r="I35" s="958"/>
      <c r="J35" s="958"/>
      <c r="K35" s="958"/>
      <c r="L35" s="853"/>
      <c r="M35" s="853"/>
      <c r="N35" s="853"/>
      <c r="O35" s="853"/>
      <c r="P35" s="853"/>
      <c r="Q35" s="853"/>
      <c r="R35" s="853"/>
      <c r="S35" s="853"/>
      <c r="T35" s="853"/>
      <c r="U35" s="853"/>
      <c r="V35" s="853"/>
    </row>
    <row r="36" spans="1:22" s="752" customFormat="1" ht="15" customHeight="1" x14ac:dyDescent="0.3">
      <c r="A36" s="880"/>
      <c r="B36" s="880"/>
      <c r="C36" s="880"/>
      <c r="D36" s="880"/>
      <c r="E36" s="880"/>
      <c r="F36" s="874" t="s">
        <v>41</v>
      </c>
      <c r="G36" s="874" t="s">
        <v>42</v>
      </c>
      <c r="H36" s="880"/>
      <c r="I36" s="880"/>
      <c r="J36" s="880"/>
      <c r="K36" s="880"/>
      <c r="L36" s="880"/>
      <c r="M36" s="880"/>
      <c r="N36" s="880"/>
      <c r="O36" s="880"/>
      <c r="P36" s="880"/>
      <c r="Q36" s="880"/>
      <c r="R36" s="880"/>
      <c r="S36" s="880"/>
      <c r="T36" s="880"/>
      <c r="U36" s="880"/>
      <c r="V36" s="880"/>
    </row>
    <row r="37" spans="1:22" s="752" customFormat="1" ht="24" customHeight="1" x14ac:dyDescent="0.3">
      <c r="A37" s="1037" t="s">
        <v>43</v>
      </c>
      <c r="B37" s="1037"/>
      <c r="C37" s="1037"/>
      <c r="D37" s="1037"/>
      <c r="E37" s="1037"/>
      <c r="F37" s="872">
        <v>45000</v>
      </c>
      <c r="G37" s="873" t="s">
        <v>44</v>
      </c>
      <c r="H37" s="880"/>
      <c r="I37" s="880"/>
      <c r="J37" s="880"/>
      <c r="K37" s="880"/>
      <c r="L37" s="880"/>
      <c r="M37" s="880"/>
      <c r="N37" s="880"/>
      <c r="O37" s="880"/>
      <c r="P37" s="880"/>
      <c r="Q37" s="880"/>
      <c r="R37" s="880"/>
      <c r="S37" s="880"/>
      <c r="T37" s="880"/>
      <c r="U37" s="880"/>
      <c r="V37" s="880"/>
    </row>
    <row r="38" spans="1:22" x14ac:dyDescent="0.3">
      <c r="A38" s="880"/>
      <c r="B38" s="880"/>
      <c r="C38" s="880"/>
      <c r="D38" s="880"/>
      <c r="E38" s="880"/>
      <c r="F38" s="880"/>
      <c r="G38" s="880"/>
      <c r="H38" s="880"/>
      <c r="I38" s="880"/>
      <c r="J38" s="880"/>
      <c r="K38" s="880"/>
      <c r="L38" s="880"/>
      <c r="M38" s="880"/>
      <c r="N38" s="880"/>
      <c r="O38" s="880"/>
      <c r="P38" s="880"/>
      <c r="Q38" s="880"/>
      <c r="R38" s="880"/>
      <c r="S38" s="880"/>
      <c r="T38" s="880"/>
      <c r="U38" s="880"/>
      <c r="V38" s="880"/>
    </row>
    <row r="39" spans="1:22" x14ac:dyDescent="0.3">
      <c r="A39" s="880"/>
      <c r="B39" s="880"/>
      <c r="C39" s="880"/>
      <c r="D39" s="880"/>
      <c r="E39" s="880"/>
      <c r="F39" s="880"/>
      <c r="G39" s="880"/>
      <c r="H39" s="880"/>
      <c r="I39" s="880"/>
      <c r="J39" s="880"/>
      <c r="K39" s="880"/>
      <c r="L39" s="880"/>
      <c r="M39" s="880"/>
      <c r="N39" s="880"/>
      <c r="O39" s="880"/>
      <c r="P39" s="880"/>
      <c r="Q39" s="880"/>
      <c r="R39" s="880"/>
      <c r="S39" s="880"/>
      <c r="T39" s="880"/>
      <c r="U39" s="880"/>
      <c r="V39" s="880"/>
    </row>
    <row r="40" spans="1:22" x14ac:dyDescent="0.3">
      <c r="A40" s="880"/>
      <c r="B40" s="880"/>
      <c r="C40" s="880"/>
      <c r="D40" s="880"/>
      <c r="E40" s="880"/>
      <c r="F40" s="880"/>
      <c r="G40" s="880"/>
      <c r="H40" s="880"/>
      <c r="I40" s="880"/>
      <c r="J40" s="880"/>
      <c r="K40" s="880"/>
      <c r="L40" s="880"/>
      <c r="M40" s="880"/>
      <c r="N40" s="880"/>
      <c r="O40" s="880"/>
      <c r="P40" s="880"/>
      <c r="Q40" s="880"/>
      <c r="R40" s="880"/>
      <c r="S40" s="880"/>
      <c r="T40" s="880"/>
      <c r="U40" s="880"/>
      <c r="V40" s="880"/>
    </row>
    <row r="41" spans="1:22" x14ac:dyDescent="0.3">
      <c r="A41" s="880"/>
      <c r="B41" s="880"/>
      <c r="C41" s="880"/>
      <c r="D41" s="880"/>
      <c r="E41" s="880"/>
      <c r="F41" s="880"/>
      <c r="G41" s="880"/>
      <c r="H41" s="880"/>
      <c r="I41" s="880"/>
      <c r="J41" s="880"/>
      <c r="K41" s="880"/>
      <c r="L41" s="880"/>
      <c r="M41" s="880"/>
      <c r="N41" s="880"/>
      <c r="O41" s="880"/>
      <c r="P41" s="880"/>
      <c r="Q41" s="880"/>
      <c r="R41" s="880"/>
      <c r="S41" s="880"/>
      <c r="T41" s="880"/>
      <c r="U41" s="880"/>
      <c r="V41" s="880"/>
    </row>
    <row r="42" spans="1:22" x14ac:dyDescent="0.3">
      <c r="A42" s="880"/>
      <c r="B42" s="880"/>
      <c r="C42" s="880"/>
      <c r="D42" s="880"/>
      <c r="E42" s="880"/>
      <c r="F42" s="880"/>
      <c r="G42" s="880"/>
      <c r="H42" s="880"/>
      <c r="I42" s="880"/>
      <c r="J42" s="880"/>
      <c r="K42" s="880"/>
      <c r="L42" s="880"/>
      <c r="M42" s="880"/>
      <c r="N42" s="880"/>
      <c r="O42" s="880"/>
      <c r="P42" s="880"/>
      <c r="Q42" s="880"/>
      <c r="R42" s="880"/>
      <c r="S42" s="880"/>
      <c r="T42" s="880"/>
      <c r="U42" s="880"/>
      <c r="V42" s="880"/>
    </row>
    <row r="43" spans="1:22" x14ac:dyDescent="0.3">
      <c r="A43" s="880"/>
      <c r="B43" s="880"/>
      <c r="C43" s="880"/>
      <c r="D43" s="880"/>
      <c r="E43" s="880"/>
      <c r="F43" s="880"/>
      <c r="G43" s="880"/>
      <c r="H43" s="880"/>
      <c r="I43" s="880"/>
      <c r="J43" s="880"/>
      <c r="K43" s="880"/>
      <c r="L43" s="880"/>
      <c r="M43" s="880"/>
      <c r="N43" s="880"/>
      <c r="O43" s="880"/>
      <c r="P43" s="880"/>
      <c r="Q43" s="880"/>
      <c r="R43" s="880"/>
      <c r="S43" s="880"/>
      <c r="T43" s="880"/>
      <c r="U43" s="880"/>
      <c r="V43" s="880"/>
    </row>
    <row r="44" spans="1:22" x14ac:dyDescent="0.3">
      <c r="A44" s="880"/>
      <c r="B44" s="880"/>
      <c r="C44" s="880"/>
      <c r="D44" s="880"/>
      <c r="E44" s="880"/>
      <c r="F44" s="880"/>
      <c r="G44" s="880"/>
      <c r="H44" s="880"/>
      <c r="I44" s="880"/>
      <c r="J44" s="880"/>
      <c r="K44" s="880"/>
      <c r="L44" s="880"/>
      <c r="M44" s="880"/>
      <c r="N44" s="880"/>
      <c r="O44" s="880"/>
      <c r="P44" s="880"/>
      <c r="Q44" s="880"/>
      <c r="R44" s="880"/>
      <c r="S44" s="880"/>
      <c r="T44" s="880"/>
      <c r="U44" s="880"/>
      <c r="V44" s="880"/>
    </row>
    <row r="45" spans="1:22" x14ac:dyDescent="0.3">
      <c r="A45" s="880"/>
      <c r="B45" s="880"/>
      <c r="C45" s="880"/>
      <c r="D45" s="880"/>
      <c r="E45" s="880"/>
      <c r="F45" s="880"/>
      <c r="G45" s="880"/>
      <c r="H45" s="880"/>
      <c r="I45" s="880"/>
      <c r="J45" s="880"/>
      <c r="K45" s="880"/>
      <c r="L45" s="880"/>
      <c r="M45" s="880"/>
      <c r="N45" s="880"/>
      <c r="O45" s="880"/>
      <c r="P45" s="880"/>
      <c r="Q45" s="880"/>
      <c r="R45" s="880"/>
      <c r="S45" s="880"/>
      <c r="T45" s="880"/>
      <c r="U45" s="880"/>
      <c r="V45" s="880"/>
    </row>
    <row r="46" spans="1:22" x14ac:dyDescent="0.3">
      <c r="A46" s="880"/>
      <c r="B46" s="880"/>
      <c r="C46" s="880"/>
      <c r="D46" s="880"/>
      <c r="E46" s="880"/>
      <c r="F46" s="880"/>
      <c r="G46" s="880"/>
      <c r="H46" s="880"/>
      <c r="I46" s="880"/>
      <c r="J46" s="880"/>
      <c r="K46" s="880"/>
      <c r="L46" s="880"/>
      <c r="M46" s="880"/>
      <c r="N46" s="880"/>
      <c r="O46" s="880"/>
      <c r="P46" s="880"/>
      <c r="Q46" s="880"/>
      <c r="R46" s="880"/>
      <c r="S46" s="880"/>
      <c r="T46" s="880"/>
      <c r="U46" s="880"/>
      <c r="V46" s="880"/>
    </row>
    <row r="47" spans="1:22" x14ac:dyDescent="0.3">
      <c r="A47" s="880"/>
      <c r="B47" s="880"/>
      <c r="C47" s="880"/>
      <c r="D47" s="880"/>
      <c r="E47" s="880"/>
      <c r="F47" s="880"/>
      <c r="G47" s="880"/>
      <c r="H47" s="880"/>
      <c r="I47" s="880"/>
      <c r="J47" s="880"/>
      <c r="K47" s="880"/>
      <c r="L47" s="880"/>
      <c r="M47" s="880"/>
      <c r="N47" s="880"/>
      <c r="O47" s="880"/>
      <c r="P47" s="880"/>
      <c r="Q47" s="880"/>
      <c r="R47" s="880"/>
      <c r="S47" s="880"/>
      <c r="T47" s="880"/>
      <c r="U47" s="880"/>
      <c r="V47" s="880"/>
    </row>
    <row r="48" spans="1:22" x14ac:dyDescent="0.3">
      <c r="A48" s="880"/>
      <c r="B48" s="880"/>
      <c r="C48" s="880"/>
      <c r="D48" s="880"/>
      <c r="E48" s="880"/>
      <c r="F48" s="880"/>
      <c r="G48" s="880"/>
      <c r="H48" s="880"/>
      <c r="I48" s="880"/>
      <c r="J48" s="880"/>
      <c r="K48" s="880"/>
      <c r="L48" s="880"/>
      <c r="M48" s="880"/>
      <c r="N48" s="880"/>
      <c r="O48" s="880"/>
      <c r="P48" s="880"/>
      <c r="Q48" s="880"/>
      <c r="R48" s="880"/>
      <c r="S48" s="880"/>
      <c r="T48" s="880"/>
      <c r="U48" s="880"/>
      <c r="V48" s="880"/>
    </row>
    <row r="49" spans="3:3" x14ac:dyDescent="0.3">
      <c r="C49" s="880"/>
    </row>
  </sheetData>
  <mergeCells count="24">
    <mergeCell ref="B3:P3"/>
    <mergeCell ref="C19:P19"/>
    <mergeCell ref="D20:P20"/>
    <mergeCell ref="E21:P21"/>
    <mergeCell ref="E22:P22"/>
    <mergeCell ref="D7:P7"/>
    <mergeCell ref="C10:P10"/>
    <mergeCell ref="C6:P6"/>
    <mergeCell ref="D8:P8"/>
    <mergeCell ref="C12:P12"/>
    <mergeCell ref="C14:P14"/>
    <mergeCell ref="C17:P17"/>
    <mergeCell ref="C15:P15"/>
    <mergeCell ref="A37:E37"/>
    <mergeCell ref="D23:P23"/>
    <mergeCell ref="C32:K32"/>
    <mergeCell ref="C30:K30"/>
    <mergeCell ref="D33:K33"/>
    <mergeCell ref="D34:K34"/>
    <mergeCell ref="N30:V30"/>
    <mergeCell ref="M32:M33"/>
    <mergeCell ref="N32:V33"/>
    <mergeCell ref="C25:P25"/>
    <mergeCell ref="C27:P27"/>
  </mergeCells>
  <pageMargins left="0.7" right="0.7" top="0.75" bottom="0.75" header="0.3" footer="0.3"/>
  <pageSetup orientation="portrait" r:id="rId1"/>
  <ignoredErrors>
    <ignoredError sqref="B6 B27 B25 B19:B23 B17 B14:B15 B12 B10" numberStoredAsText="1"/>
  </ignoredError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tabColor theme="9" tint="-0.249977111117893"/>
  </sheetPr>
  <dimension ref="A1:BJ150"/>
  <sheetViews>
    <sheetView zoomScale="85" zoomScaleNormal="85" workbookViewId="0">
      <selection sqref="A1:P33"/>
    </sheetView>
  </sheetViews>
  <sheetFormatPr defaultRowHeight="14.4" x14ac:dyDescent="0.3"/>
  <cols>
    <col min="1" max="1" width="15" customWidth="1"/>
    <col min="5" max="5" width="12.77734375" customWidth="1"/>
    <col min="6" max="6" width="10.21875" customWidth="1"/>
    <col min="7" max="7" width="11.77734375" customWidth="1"/>
  </cols>
  <sheetData>
    <row r="1" spans="1:45" ht="15" thickBot="1" x14ac:dyDescent="0.35">
      <c r="A1" t="s">
        <v>417</v>
      </c>
    </row>
    <row r="2" spans="1:45" ht="15.6" thickTop="1" thickBot="1" x14ac:dyDescent="0.35">
      <c r="A2" s="28" t="s">
        <v>346</v>
      </c>
      <c r="B2" s="28" t="s">
        <v>347</v>
      </c>
      <c r="C2" s="28" t="s">
        <v>348</v>
      </c>
      <c r="D2" s="28" t="s">
        <v>277</v>
      </c>
      <c r="E2" s="29" t="s">
        <v>278</v>
      </c>
      <c r="F2" s="30" t="s">
        <v>349</v>
      </c>
      <c r="G2" s="31" t="s">
        <v>277</v>
      </c>
      <c r="H2" s="31" t="s">
        <v>278</v>
      </c>
      <c r="I2" s="1435" t="s">
        <v>418</v>
      </c>
      <c r="J2" s="1436"/>
      <c r="K2" s="1436"/>
      <c r="L2" s="1436"/>
      <c r="M2" s="1436"/>
      <c r="N2" s="1436"/>
      <c r="O2" s="1436"/>
      <c r="P2" s="1437"/>
    </row>
    <row r="3" spans="1:45" x14ac:dyDescent="0.3">
      <c r="A3" s="24">
        <v>1</v>
      </c>
      <c r="B3" s="24">
        <v>1</v>
      </c>
      <c r="C3" s="24">
        <v>3421</v>
      </c>
      <c r="D3" s="24">
        <v>1769</v>
      </c>
      <c r="E3" s="32">
        <v>5125</v>
      </c>
      <c r="F3" s="33">
        <f>ROUNDUP(0.526*C6, 0)</f>
        <v>3421</v>
      </c>
      <c r="G3" s="33">
        <f>ROUNDUP(0.526*D6, 0)</f>
        <v>2063</v>
      </c>
      <c r="H3" s="33">
        <f>ROUNDUP(0.526*E6, 0)</f>
        <v>4394</v>
      </c>
      <c r="I3" s="1438"/>
      <c r="J3" s="1393"/>
      <c r="K3" s="1393"/>
      <c r="L3" s="1393"/>
      <c r="M3" s="1393"/>
      <c r="N3" s="1393"/>
      <c r="O3" s="1393"/>
      <c r="P3" s="1439"/>
    </row>
    <row r="4" spans="1:45" x14ac:dyDescent="0.3">
      <c r="A4" s="24">
        <v>1</v>
      </c>
      <c r="B4" s="24">
        <v>2</v>
      </c>
      <c r="C4" s="24">
        <v>1681</v>
      </c>
      <c r="D4" s="24">
        <v>804</v>
      </c>
      <c r="E4" s="32">
        <v>2485</v>
      </c>
      <c r="F4" s="33">
        <f>ROUNDUP(0.259*C6, 0)</f>
        <v>1685</v>
      </c>
      <c r="G4" s="33">
        <f>ROUNDUP(0.259*D6, 0)</f>
        <v>1016</v>
      </c>
      <c r="H4" s="33">
        <f>ROUNDUP(0.259*E6, 0)</f>
        <v>2164</v>
      </c>
      <c r="I4" s="1438"/>
      <c r="J4" s="1393"/>
      <c r="K4" s="1393"/>
      <c r="L4" s="1393"/>
      <c r="M4" s="1393"/>
      <c r="N4" s="1393"/>
      <c r="O4" s="1393"/>
      <c r="P4" s="1439"/>
    </row>
    <row r="5" spans="1:45" ht="40.5" customHeight="1" thickBot="1" x14ac:dyDescent="0.35">
      <c r="A5" s="24">
        <v>1</v>
      </c>
      <c r="B5" s="24">
        <v>3</v>
      </c>
      <c r="C5" s="24">
        <v>1401</v>
      </c>
      <c r="D5" s="24">
        <v>396</v>
      </c>
      <c r="E5" s="32">
        <v>2845</v>
      </c>
      <c r="F5" s="33">
        <f>ROUNDUP(0.216*C6, 0)</f>
        <v>1405</v>
      </c>
      <c r="G5" s="16">
        <f>ROUNDUP(0.216*D6, 0)</f>
        <v>848</v>
      </c>
      <c r="H5" s="24">
        <f>ROUNDUP(0.216*E6, 0)</f>
        <v>1805</v>
      </c>
      <c r="I5" s="1440"/>
      <c r="J5" s="1441"/>
      <c r="K5" s="1441"/>
      <c r="L5" s="1441"/>
      <c r="M5" s="1441"/>
      <c r="N5" s="1441"/>
      <c r="O5" s="1441"/>
      <c r="P5" s="1442"/>
      <c r="Q5" s="16"/>
      <c r="R5" s="16"/>
      <c r="S5" s="16"/>
    </row>
    <row r="6" spans="1:45" ht="15.6" thickTop="1" thickBot="1" x14ac:dyDescent="0.35">
      <c r="A6" s="1396" t="s">
        <v>351</v>
      </c>
      <c r="B6" s="1397"/>
      <c r="C6" s="34">
        <f>SUM(C3:C5)</f>
        <v>6503</v>
      </c>
      <c r="D6" s="984">
        <v>3922</v>
      </c>
      <c r="E6" s="34">
        <v>8352</v>
      </c>
      <c r="F6" s="35">
        <v>7087</v>
      </c>
      <c r="G6" s="36">
        <v>4699</v>
      </c>
      <c r="H6" s="37">
        <v>9717</v>
      </c>
      <c r="I6" s="1443" t="s">
        <v>352</v>
      </c>
      <c r="J6" s="1443"/>
      <c r="K6" s="1443"/>
      <c r="L6" s="1443"/>
      <c r="M6" s="1443"/>
      <c r="N6" s="1443"/>
      <c r="O6" s="1443"/>
      <c r="P6" s="1443"/>
      <c r="Q6" s="38"/>
      <c r="R6" s="38"/>
      <c r="S6" s="38"/>
    </row>
    <row r="7" spans="1:45" x14ac:dyDescent="0.3">
      <c r="A7" s="24">
        <v>2</v>
      </c>
      <c r="B7" s="24">
        <v>1</v>
      </c>
      <c r="C7" s="24">
        <v>1568</v>
      </c>
      <c r="D7" s="24">
        <v>794</v>
      </c>
      <c r="E7" s="32">
        <v>2491</v>
      </c>
      <c r="F7" s="33"/>
      <c r="G7" s="39"/>
      <c r="H7" s="39"/>
      <c r="I7" s="1398"/>
      <c r="J7" s="1398"/>
      <c r="K7" s="1398"/>
      <c r="L7" s="1398"/>
      <c r="M7" s="1398"/>
      <c r="N7" s="1398"/>
      <c r="O7" s="1398"/>
      <c r="P7" s="1398"/>
      <c r="X7" s="40"/>
      <c r="Y7" s="41"/>
      <c r="Z7" s="41"/>
      <c r="AA7" s="1399" t="s">
        <v>353</v>
      </c>
      <c r="AB7" s="1399"/>
      <c r="AC7" s="1399"/>
      <c r="AD7" s="1399"/>
      <c r="AE7" s="1399"/>
      <c r="AF7" s="1399"/>
      <c r="AG7" s="1399"/>
      <c r="AH7" s="1399"/>
      <c r="AI7" s="1399"/>
    </row>
    <row r="8" spans="1:45" ht="30" customHeight="1" thickBot="1" x14ac:dyDescent="0.35">
      <c r="A8" s="24">
        <v>2</v>
      </c>
      <c r="B8" s="24">
        <v>2</v>
      </c>
      <c r="C8" s="24">
        <v>455</v>
      </c>
      <c r="D8" s="24">
        <v>322</v>
      </c>
      <c r="E8" s="32">
        <v>1068</v>
      </c>
      <c r="F8" s="33"/>
      <c r="G8" s="39"/>
      <c r="H8" s="42"/>
      <c r="I8" s="1398"/>
      <c r="J8" s="1398"/>
      <c r="K8" s="1398"/>
      <c r="L8" s="1398"/>
      <c r="M8" s="1398"/>
      <c r="N8" s="1398"/>
      <c r="O8" s="1398"/>
      <c r="P8" s="1398"/>
      <c r="X8" s="43"/>
      <c r="Y8" s="44"/>
      <c r="Z8" s="44"/>
      <c r="AA8" s="1399"/>
      <c r="AB8" s="1399"/>
      <c r="AC8" s="1399"/>
      <c r="AD8" s="1399"/>
      <c r="AE8" s="1399"/>
      <c r="AF8" s="1399"/>
      <c r="AG8" s="1399"/>
      <c r="AH8" s="1399"/>
      <c r="AI8" s="1399"/>
      <c r="AK8" s="982"/>
      <c r="AL8" s="982"/>
      <c r="AM8" s="982"/>
      <c r="AN8" s="982"/>
      <c r="AO8" s="982"/>
      <c r="AP8" s="982"/>
      <c r="AQ8" s="982"/>
      <c r="AR8" s="982"/>
      <c r="AS8" s="982"/>
    </row>
    <row r="9" spans="1:45" ht="15" thickBot="1" x14ac:dyDescent="0.35">
      <c r="A9" s="1396" t="s">
        <v>351</v>
      </c>
      <c r="B9" s="1397"/>
      <c r="C9" s="34">
        <f>SUM(C7:C8)</f>
        <v>2023</v>
      </c>
      <c r="D9" s="34">
        <v>751</v>
      </c>
      <c r="E9" s="984">
        <v>1881</v>
      </c>
      <c r="F9" s="983"/>
      <c r="G9" s="45"/>
      <c r="H9" s="46"/>
      <c r="X9" s="43"/>
      <c r="Y9" s="44"/>
      <c r="Z9" s="44"/>
      <c r="AA9" s="1399"/>
      <c r="AB9" s="1399"/>
      <c r="AC9" s="1399"/>
      <c r="AD9" s="1399"/>
      <c r="AE9" s="1399"/>
      <c r="AF9" s="1399"/>
      <c r="AG9" s="1399"/>
      <c r="AH9" s="1399"/>
      <c r="AI9" s="1399"/>
      <c r="AK9" s="986"/>
      <c r="AL9" s="986"/>
      <c r="AM9" s="986"/>
      <c r="AN9" s="986"/>
      <c r="AO9" s="986"/>
      <c r="AP9" s="986"/>
      <c r="AQ9" s="986"/>
      <c r="AR9" s="986"/>
      <c r="AS9" s="986"/>
    </row>
    <row r="10" spans="1:45" x14ac:dyDescent="0.3">
      <c r="A10" s="16"/>
      <c r="B10" s="16"/>
      <c r="C10" s="16"/>
      <c r="D10" s="16"/>
      <c r="E10" s="16"/>
      <c r="F10" s="16"/>
      <c r="G10" s="16"/>
      <c r="X10" s="43"/>
      <c r="Y10" s="44"/>
      <c r="Z10" s="44"/>
      <c r="AA10" s="1399"/>
      <c r="AB10" s="1399"/>
      <c r="AC10" s="1399"/>
      <c r="AD10" s="1399"/>
      <c r="AE10" s="1399"/>
      <c r="AF10" s="1399"/>
      <c r="AG10" s="1399"/>
      <c r="AH10" s="1399"/>
      <c r="AI10" s="1399"/>
      <c r="AK10" s="986"/>
      <c r="AL10" s="986"/>
      <c r="AM10" s="986"/>
      <c r="AN10" s="986"/>
      <c r="AO10" s="986"/>
      <c r="AP10" s="986"/>
      <c r="AQ10" s="986"/>
      <c r="AR10" s="986"/>
      <c r="AS10" s="986"/>
    </row>
    <row r="11" spans="1:45" x14ac:dyDescent="0.3">
      <c r="A11" s="1400" t="s">
        <v>354</v>
      </c>
      <c r="B11" s="1400"/>
      <c r="C11" s="1400"/>
      <c r="D11" s="1400"/>
      <c r="E11" s="1400"/>
      <c r="F11" s="1400"/>
      <c r="G11" s="1400"/>
      <c r="H11" s="1400"/>
      <c r="I11" s="1400"/>
      <c r="J11" s="1400"/>
      <c r="K11" s="1400"/>
      <c r="L11" s="1400"/>
      <c r="M11" s="1400"/>
      <c r="N11" s="1400"/>
      <c r="O11" s="1400"/>
      <c r="P11" s="1400"/>
      <c r="Q11" s="1400"/>
      <c r="AA11" s="1399"/>
      <c r="AB11" s="1399"/>
      <c r="AC11" s="1399"/>
      <c r="AD11" s="1399"/>
      <c r="AE11" s="1399"/>
      <c r="AF11" s="1399"/>
      <c r="AG11" s="1399"/>
      <c r="AH11" s="1399"/>
      <c r="AI11" s="1399"/>
      <c r="AK11" s="986"/>
      <c r="AL11" s="986"/>
      <c r="AM11" s="986"/>
      <c r="AN11" s="986"/>
      <c r="AO11" s="986"/>
      <c r="AP11" s="986"/>
      <c r="AQ11" s="986"/>
      <c r="AR11" s="986"/>
      <c r="AS11" s="986"/>
    </row>
    <row r="12" spans="1:45" x14ac:dyDescent="0.3">
      <c r="A12" s="16" t="s">
        <v>355</v>
      </c>
      <c r="B12" s="986">
        <v>1</v>
      </c>
      <c r="C12" s="986">
        <v>2</v>
      </c>
      <c r="D12" s="986">
        <v>3</v>
      </c>
      <c r="E12" s="986">
        <v>4</v>
      </c>
      <c r="F12" s="986">
        <v>5</v>
      </c>
      <c r="G12" s="986">
        <v>6</v>
      </c>
      <c r="H12" s="986">
        <v>7</v>
      </c>
      <c r="I12" s="986">
        <v>8</v>
      </c>
      <c r="J12" s="986"/>
      <c r="K12" s="986">
        <v>9</v>
      </c>
      <c r="L12" s="986">
        <v>10</v>
      </c>
      <c r="M12" s="986">
        <v>11</v>
      </c>
      <c r="N12" s="986">
        <v>12</v>
      </c>
      <c r="O12" s="987" t="s">
        <v>356</v>
      </c>
      <c r="P12" s="1401" t="s">
        <v>357</v>
      </c>
      <c r="Q12" s="1401"/>
      <c r="AA12" s="1399"/>
      <c r="AB12" s="1399"/>
      <c r="AC12" s="1399"/>
      <c r="AD12" s="1399"/>
      <c r="AE12" s="1399"/>
      <c r="AF12" s="1399"/>
      <c r="AG12" s="1399"/>
      <c r="AH12" s="1399"/>
      <c r="AI12" s="1399"/>
      <c r="AK12" s="986"/>
      <c r="AL12" s="986"/>
      <c r="AM12" s="986"/>
      <c r="AN12" s="986"/>
      <c r="AO12" s="986"/>
      <c r="AP12" s="986"/>
      <c r="AQ12" s="986"/>
      <c r="AR12" s="986"/>
      <c r="AS12" s="986"/>
    </row>
    <row r="13" spans="1:45" x14ac:dyDescent="0.3">
      <c r="A13" t="s">
        <v>358</v>
      </c>
      <c r="B13" s="48">
        <v>0.21</v>
      </c>
      <c r="C13" s="48">
        <v>0.61</v>
      </c>
      <c r="D13" s="48">
        <v>6.8000000000000005E-2</v>
      </c>
      <c r="E13" s="48">
        <v>5.0999999999999997E-2</v>
      </c>
      <c r="F13" s="48">
        <v>2.5000000000000001E-2</v>
      </c>
      <c r="G13" s="48">
        <v>1.2999999999999999E-2</v>
      </c>
      <c r="H13" s="48">
        <v>4.0000000000000001E-3</v>
      </c>
      <c r="I13" s="48">
        <v>7.0000000000000001E-3</v>
      </c>
      <c r="J13" s="48"/>
      <c r="K13" s="48">
        <v>2E-3</v>
      </c>
      <c r="L13" s="48">
        <v>4.0000000000000001E-3</v>
      </c>
      <c r="M13" s="48">
        <v>2E-3</v>
      </c>
      <c r="N13" s="48">
        <v>2E-3</v>
      </c>
      <c r="O13" s="49">
        <f>ROUNDUP(SUM(B13:N13),2)</f>
        <v>1</v>
      </c>
      <c r="P13" s="1402">
        <v>1.73</v>
      </c>
      <c r="Q13" s="1402"/>
      <c r="AA13" s="1399"/>
      <c r="AB13" s="1399"/>
      <c r="AC13" s="1399"/>
      <c r="AD13" s="1399"/>
      <c r="AE13" s="1399"/>
      <c r="AF13" s="1399"/>
      <c r="AG13" s="1399"/>
      <c r="AH13" s="1399"/>
      <c r="AI13" s="1399"/>
      <c r="AK13" s="986"/>
      <c r="AL13" s="986"/>
      <c r="AM13" s="986"/>
      <c r="AN13" s="986"/>
      <c r="AO13" s="986"/>
      <c r="AP13" s="986"/>
      <c r="AQ13" s="986"/>
      <c r="AR13" s="986"/>
      <c r="AS13" s="986"/>
    </row>
    <row r="14" spans="1:45" x14ac:dyDescent="0.3">
      <c r="B14" s="43"/>
      <c r="C14" s="43"/>
      <c r="D14" s="43"/>
      <c r="E14" s="43"/>
      <c r="F14" s="43"/>
      <c r="G14" s="43"/>
      <c r="H14" s="43"/>
      <c r="I14" s="43"/>
      <c r="J14" s="43"/>
      <c r="K14" s="43"/>
      <c r="L14" s="43"/>
      <c r="M14" s="43"/>
      <c r="N14" s="43"/>
      <c r="O14" s="49"/>
      <c r="AA14" s="985"/>
      <c r="AB14" s="985"/>
      <c r="AC14" s="985"/>
      <c r="AD14" s="985"/>
      <c r="AE14" s="985"/>
      <c r="AF14" s="985"/>
      <c r="AG14" s="985"/>
      <c r="AH14" s="985"/>
      <c r="AI14" s="985"/>
      <c r="AK14" s="986"/>
      <c r="AL14" s="986"/>
      <c r="AM14" s="986"/>
      <c r="AN14" s="986"/>
      <c r="AO14" s="986"/>
      <c r="AP14" s="986"/>
      <c r="AQ14" s="986"/>
      <c r="AR14" s="986"/>
      <c r="AS14" s="986"/>
    </row>
    <row r="15" spans="1:45" x14ac:dyDescent="0.3">
      <c r="B15" s="43"/>
      <c r="C15" s="43"/>
      <c r="D15" s="43"/>
      <c r="E15" s="43"/>
      <c r="F15" s="43"/>
      <c r="G15" s="43"/>
      <c r="H15" s="43"/>
      <c r="I15" s="43"/>
      <c r="J15" s="43"/>
      <c r="K15" s="43"/>
      <c r="L15" s="43"/>
      <c r="M15" s="43"/>
      <c r="N15" s="43"/>
      <c r="O15" s="49"/>
      <c r="AA15" s="985"/>
      <c r="AB15" s="985"/>
      <c r="AC15" s="985"/>
      <c r="AD15" s="985"/>
      <c r="AE15" s="985"/>
      <c r="AF15" s="985"/>
      <c r="AG15" s="985"/>
      <c r="AH15" s="985"/>
      <c r="AI15" s="985"/>
      <c r="AK15" s="986"/>
      <c r="AL15" s="986"/>
      <c r="AM15" s="986"/>
      <c r="AN15" s="986"/>
      <c r="AO15" s="986"/>
      <c r="AP15" s="986"/>
      <c r="AQ15" s="986"/>
      <c r="AR15" s="986"/>
      <c r="AS15" s="986"/>
    </row>
    <row r="16" spans="1:45" ht="15" thickBot="1" x14ac:dyDescent="0.35">
      <c r="B16" s="43"/>
      <c r="C16" s="43"/>
      <c r="D16" s="43"/>
      <c r="E16" s="43"/>
      <c r="F16" s="43"/>
      <c r="G16" s="43"/>
      <c r="H16" s="43"/>
      <c r="I16" s="43"/>
      <c r="J16" s="43"/>
      <c r="K16" s="43"/>
      <c r="L16" s="43"/>
      <c r="M16" s="43"/>
      <c r="N16" s="43"/>
      <c r="O16" s="43"/>
      <c r="AK16" s="986"/>
      <c r="AL16" s="986"/>
      <c r="AM16" s="986"/>
      <c r="AN16" s="986"/>
      <c r="AO16" s="986"/>
      <c r="AP16" s="986"/>
      <c r="AQ16" s="986"/>
      <c r="AR16" s="986"/>
      <c r="AS16" s="986"/>
    </row>
    <row r="17" spans="1:62" ht="43.5" customHeight="1" thickTop="1" x14ac:dyDescent="0.3">
      <c r="A17" s="1384" t="s">
        <v>359</v>
      </c>
      <c r="B17" s="1385"/>
      <c r="C17" s="1385"/>
      <c r="D17" s="1385"/>
      <c r="E17" s="1385"/>
      <c r="F17" s="1385"/>
      <c r="G17" s="1385"/>
      <c r="H17" s="1385"/>
      <c r="I17" s="1385"/>
      <c r="J17" s="1385"/>
      <c r="K17" s="1385"/>
      <c r="L17" s="1385"/>
      <c r="M17" s="1385"/>
      <c r="N17" s="1385"/>
      <c r="O17" s="1385"/>
      <c r="P17" s="1385"/>
      <c r="Q17" s="1385"/>
      <c r="R17" s="1385"/>
      <c r="S17" s="1385"/>
      <c r="T17" s="1385"/>
      <c r="U17" s="1386"/>
      <c r="V17" s="1383" t="s">
        <v>360</v>
      </c>
      <c r="W17" s="1383"/>
      <c r="X17" s="1383"/>
      <c r="Y17" s="1383"/>
      <c r="Z17" s="1383"/>
      <c r="AA17" s="1383"/>
      <c r="AB17" s="1383"/>
      <c r="AC17" s="1383"/>
      <c r="AD17" s="1383"/>
      <c r="AE17" s="1383"/>
      <c r="AF17" s="1383"/>
      <c r="AG17" s="1383"/>
      <c r="AH17" s="1383"/>
      <c r="AI17" s="1383"/>
      <c r="AJ17" s="1383"/>
      <c r="AK17" s="1383"/>
      <c r="AL17" s="1383"/>
      <c r="AM17" s="1383"/>
      <c r="AN17" s="1383"/>
      <c r="AO17" s="1383"/>
      <c r="AP17" s="1383"/>
      <c r="AQ17" s="1383" t="s">
        <v>361</v>
      </c>
      <c r="AR17" s="1383"/>
      <c r="AS17" s="1383"/>
      <c r="AT17" s="1383"/>
      <c r="AU17" s="1383"/>
      <c r="AV17" s="1383"/>
      <c r="AW17" s="1383"/>
      <c r="AX17" s="1383"/>
      <c r="AY17" s="1383"/>
      <c r="AZ17" s="1383"/>
      <c r="BA17" s="1383"/>
      <c r="BB17" s="1383"/>
      <c r="BC17" s="1383"/>
      <c r="BD17" s="1383"/>
      <c r="BE17" s="1383"/>
      <c r="BF17" s="1383"/>
      <c r="BG17" s="1383"/>
      <c r="BH17" s="1383"/>
      <c r="BI17" s="1383"/>
      <c r="BJ17" s="50"/>
    </row>
    <row r="18" spans="1:62" ht="97.5" customHeight="1" thickBot="1" x14ac:dyDescent="0.35">
      <c r="A18" s="51"/>
      <c r="B18" s="52" t="s">
        <v>362</v>
      </c>
      <c r="C18" s="52" t="s">
        <v>363</v>
      </c>
      <c r="D18" s="52" t="s">
        <v>364</v>
      </c>
      <c r="E18" s="52" t="s">
        <v>365</v>
      </c>
      <c r="F18" s="52" t="s">
        <v>366</v>
      </c>
      <c r="G18" s="52" t="s">
        <v>367</v>
      </c>
      <c r="H18" s="53" t="s">
        <v>368</v>
      </c>
      <c r="I18" s="152" t="s">
        <v>382</v>
      </c>
      <c r="J18" s="57" t="s">
        <v>419</v>
      </c>
      <c r="K18" s="152" t="s">
        <v>383</v>
      </c>
      <c r="L18" s="52" t="s">
        <v>371</v>
      </c>
      <c r="M18" s="52" t="s">
        <v>372</v>
      </c>
      <c r="N18" s="52" t="s">
        <v>373</v>
      </c>
      <c r="O18" s="52" t="s">
        <v>374</v>
      </c>
      <c r="P18" s="52" t="s">
        <v>375</v>
      </c>
      <c r="Q18" s="52" t="s">
        <v>376</v>
      </c>
      <c r="R18" s="52" t="s">
        <v>377</v>
      </c>
      <c r="S18" s="52" t="s">
        <v>378</v>
      </c>
      <c r="T18" s="52" t="s">
        <v>379</v>
      </c>
      <c r="U18" s="56" t="s">
        <v>380</v>
      </c>
      <c r="V18" s="57"/>
      <c r="W18" s="58" t="s">
        <v>362</v>
      </c>
      <c r="X18" s="58" t="s">
        <v>381</v>
      </c>
      <c r="Y18" s="59" t="s">
        <v>364</v>
      </c>
      <c r="Z18" s="57" t="s">
        <v>365</v>
      </c>
      <c r="AA18" s="52" t="s">
        <v>420</v>
      </c>
      <c r="AB18" s="52" t="s">
        <v>421</v>
      </c>
      <c r="AC18" s="60" t="s">
        <v>368</v>
      </c>
      <c r="AD18" s="152" t="s">
        <v>382</v>
      </c>
      <c r="AE18" s="57" t="s">
        <v>419</v>
      </c>
      <c r="AF18" s="152" t="s">
        <v>383</v>
      </c>
      <c r="AG18" s="153" t="s">
        <v>371</v>
      </c>
      <c r="AH18" s="153" t="s">
        <v>372</v>
      </c>
      <c r="AI18" s="153" t="s">
        <v>373</v>
      </c>
      <c r="AJ18" s="153" t="s">
        <v>374</v>
      </c>
      <c r="AK18" s="153" t="s">
        <v>375</v>
      </c>
      <c r="AL18" s="153" t="s">
        <v>376</v>
      </c>
      <c r="AM18" s="153" t="s">
        <v>377</v>
      </c>
      <c r="AN18" s="153" t="s">
        <v>378</v>
      </c>
      <c r="AO18" s="153" t="s">
        <v>379</v>
      </c>
      <c r="AP18" s="153" t="s">
        <v>380</v>
      </c>
      <c r="AQ18" s="57"/>
      <c r="AR18" s="58" t="s">
        <v>362</v>
      </c>
      <c r="AS18" s="58" t="s">
        <v>363</v>
      </c>
      <c r="AT18" s="59" t="s">
        <v>364</v>
      </c>
      <c r="AU18" s="57" t="s">
        <v>365</v>
      </c>
      <c r="AV18" s="52" t="s">
        <v>366</v>
      </c>
      <c r="AW18" s="52" t="s">
        <v>367</v>
      </c>
      <c r="AX18" s="60" t="s">
        <v>368</v>
      </c>
      <c r="AY18" s="57" t="s">
        <v>382</v>
      </c>
      <c r="AZ18" s="57" t="s">
        <v>383</v>
      </c>
      <c r="BA18" s="60" t="s">
        <v>371</v>
      </c>
      <c r="BB18" s="60" t="s">
        <v>372</v>
      </c>
      <c r="BC18" s="60" t="s">
        <v>373</v>
      </c>
      <c r="BD18" s="60" t="s">
        <v>374</v>
      </c>
      <c r="BE18" s="60" t="s">
        <v>375</v>
      </c>
      <c r="BF18" s="60" t="s">
        <v>376</v>
      </c>
      <c r="BG18" s="60" t="s">
        <v>377</v>
      </c>
      <c r="BH18" s="60" t="s">
        <v>378</v>
      </c>
      <c r="BI18" s="60" t="s">
        <v>379</v>
      </c>
      <c r="BJ18" s="60" t="s">
        <v>380</v>
      </c>
    </row>
    <row r="19" spans="1:62" ht="15" thickTop="1" x14ac:dyDescent="0.3">
      <c r="A19" s="61"/>
      <c r="B19" s="62">
        <f t="shared" ref="B19:B35" si="0">ROUNDUP(1.84*($C$6/$P$13),0)</f>
        <v>6917</v>
      </c>
      <c r="C19" s="63">
        <v>30</v>
      </c>
      <c r="D19" s="64">
        <f>((C19^2)*3.1428)/1000000</f>
        <v>2.8285200000000002E-3</v>
      </c>
      <c r="E19" s="65">
        <f t="shared" ref="E19:E35" si="1">B19/(3494/$D19)</f>
        <v>5.5995629192902123E-3</v>
      </c>
      <c r="F19" s="65">
        <f>1*E19</f>
        <v>5.5995629192902123E-3</v>
      </c>
      <c r="G19" s="65">
        <f>1*($E19*0.22)</f>
        <v>1.2319038422438466E-3</v>
      </c>
      <c r="H19" s="65">
        <f t="shared" ref="H19:H35" si="2">EXP(-$E19)</f>
        <v>0.99441608541159132</v>
      </c>
      <c r="I19" s="65">
        <f>1-H19</f>
        <v>5.5839145884086783E-3</v>
      </c>
      <c r="J19" s="65"/>
      <c r="K19" s="66">
        <f>SUM(M19,O19,Q19,S19,U19)</f>
        <v>1.2311453601965329E-3</v>
      </c>
      <c r="L19" s="65">
        <f t="shared" ref="L19:L35" si="3">EXP(-$F19)*POWER($F19,1)</f>
        <v>5.5682954382164753E-3</v>
      </c>
      <c r="M19" s="65">
        <f t="shared" ref="M19:M35" si="4">EXP(-$G19)*POWER($G19,1)</f>
        <v>1.2303871895442597E-3</v>
      </c>
      <c r="N19" s="65">
        <f t="shared" ref="N19:N35" si="5">EXP(-$F19)*POWER($F19,2)/FACT(2)</f>
        <v>1.5590010329744911E-5</v>
      </c>
      <c r="O19" s="65">
        <f t="shared" ref="O19:O35" si="6">EXP(-$G19)*POWER($G19,2)/FACT(2)</f>
        <v>7.5785935312359081E-7</v>
      </c>
      <c r="P19" s="65">
        <f t="shared" ref="P19:P35" si="7">EXP(-$F19)*POWER($F19,3)/FACT(3)</f>
        <v>2.9099081251263659E-8</v>
      </c>
      <c r="Q19" s="65">
        <f t="shared" ref="Q19:Q35" si="8">EXP(-$G19)*POWER($G19,3)/FACT(3)</f>
        <v>3.1120328299779586E-10</v>
      </c>
      <c r="R19" s="65">
        <f t="shared" ref="R19:R35" si="9">EXP(-$F19)*POWER($F19,4)/FACT(4)</f>
        <v>4.0735534089997257E-11</v>
      </c>
      <c r="S19" s="65">
        <f t="shared" ref="S19:S35" si="10">EXP(-$G19)*POWER($G19,4)/FACT(4)</f>
        <v>9.5843130010970963E-14</v>
      </c>
      <c r="T19" s="65">
        <f t="shared" ref="T19:T35" si="11">EXP(-$F19)*POWER($F19,5)/FACT(5)</f>
        <v>4.5620237237566207E-14</v>
      </c>
      <c r="U19" s="67">
        <f t="shared" ref="U19:U35" si="12">EXP(-$G19)*POWER($G19,5)/FACT(5)</f>
        <v>2.3613904022638334E-17</v>
      </c>
      <c r="V19" s="68"/>
      <c r="W19" s="62">
        <f>ROUNDUP($F$3/$P$13,0)</f>
        <v>1978</v>
      </c>
      <c r="X19" s="63">
        <v>30</v>
      </c>
      <c r="Y19" s="64">
        <f t="shared" ref="Y19:Y35" si="13">((X19^2)*3.1428)/1000000</f>
        <v>2.8285200000000002E-3</v>
      </c>
      <c r="Z19" s="65">
        <f>W19/(839/$Y19)</f>
        <v>6.6684297497020262E-3</v>
      </c>
      <c r="AA19" s="65">
        <f>(1*$Z19)*0.72</f>
        <v>4.8012694197854585E-3</v>
      </c>
      <c r="AB19" s="65">
        <f>(1*($Z19*0.22))*0.72</f>
        <v>1.0562792723528009E-3</v>
      </c>
      <c r="AC19" s="65">
        <f>EXP(-$AA19)</f>
        <v>0.99521023824972821</v>
      </c>
      <c r="AD19" s="65">
        <f>1-AC19</f>
        <v>4.7897617502717926E-3</v>
      </c>
      <c r="AE19" s="65">
        <f>EXP(-AB19)</f>
        <v>0.99894427839422995</v>
      </c>
      <c r="AF19" s="65">
        <f>1-AE19</f>
        <v>1.0557216057700547E-3</v>
      </c>
      <c r="AG19" s="154">
        <f>EXP(-$AA19)*POWER($AA19,1)</f>
        <v>4.7782724831658208E-3</v>
      </c>
      <c r="AH19" s="154">
        <f>EXP(-$AB19)*POWER($AB19,1)</f>
        <v>1.0551641355032509E-3</v>
      </c>
      <c r="AI19" s="154">
        <f>EXP(-$AA19)*POWER($AA19,2)/FACT(2)</f>
        <v>1.147088677641319E-5</v>
      </c>
      <c r="AJ19" s="154">
        <f>EXP(-$AB19)*POWER($AB19,2)/FACT(2)</f>
        <v>5.5727400263107308E-7</v>
      </c>
      <c r="AK19" s="154">
        <f>EXP(-$AA19)*POWER($AA19,3)/FACT(3)</f>
        <v>1.8358272632471348E-8</v>
      </c>
      <c r="AL19" s="154">
        <f>EXP(-$AB19)*POWER($AB19,3)/FACT(3)</f>
        <v>1.9621232600009425E-10</v>
      </c>
      <c r="AM19" s="154">
        <f>EXP(-$AA19)*POWER($AA19,4)/FACT(4)</f>
        <v>2.203575324759224E-11</v>
      </c>
      <c r="AN19" s="154">
        <f>EXP(-$AB19)*POWER($AB19,4)/FACT(4)</f>
        <v>5.1813753233507531E-14</v>
      </c>
      <c r="AO19" s="154">
        <f>EXP(-$AA19)*POWER($AA19,5)/FACT(5)</f>
        <v>2.1159917641920549E-14</v>
      </c>
      <c r="AP19" s="154">
        <f>EXP(-$AB19)*POWER($AB19,5)/FACT(5)</f>
        <v>1.0945958712671385E-17</v>
      </c>
      <c r="AQ19" s="68"/>
      <c r="AR19" s="62">
        <f>ROUNDUP($F$5/$P$13,0)</f>
        <v>813</v>
      </c>
      <c r="AS19" s="63">
        <v>30</v>
      </c>
      <c r="AT19" s="64">
        <f t="shared" ref="AT19:AT39" si="14">((AS19^2)*3.1428)/1000000</f>
        <v>2.8285200000000002E-3</v>
      </c>
      <c r="AU19" s="65">
        <f t="shared" ref="AU19:AU39" si="15">AR19/(1458/$AT19)</f>
        <v>1.5772200000000001E-3</v>
      </c>
      <c r="AV19" s="65">
        <f>1*AU19</f>
        <v>1.5772200000000001E-3</v>
      </c>
      <c r="AW19" s="65">
        <f>1*($AU19-($AU19*0.78))</f>
        <v>3.4698840000000003E-4</v>
      </c>
      <c r="AX19" s="65">
        <f t="shared" ref="AX19:AX39" si="16">EXP(-$AV19)</f>
        <v>0.99842402315780054</v>
      </c>
      <c r="AY19" s="65">
        <f>SUM(BA19,BC19,BE19,BG19,BI19)</f>
        <v>1.5759768421994764E-3</v>
      </c>
      <c r="AZ19" s="65">
        <f>SUM(BB19,BD19,BF19,BH19,BJ19)</f>
        <v>3.4692820648748427E-4</v>
      </c>
      <c r="BA19" s="65">
        <f t="shared" ref="BA19:BA39" si="17">EXP(-$AV19)*POWER($AV19,1)</f>
        <v>1.5747343378049463E-3</v>
      </c>
      <c r="BB19" s="65">
        <f t="shared" ref="BB19:BB39" si="18">EXP(-$AW19)*POWER($AW19,1)</f>
        <v>3.4686801993671608E-4</v>
      </c>
      <c r="BC19" s="65">
        <f t="shared" ref="BC19:BC39" si="19">EXP(-$AV19)*POWER($AV19,2)/FACT(2)</f>
        <v>1.2418512461363586E-6</v>
      </c>
      <c r="BD19" s="65">
        <f t="shared" ref="BD19:BD39" si="20">EXP(-$AW19)*POWER($AW19,2)/FACT(2)</f>
        <v>6.0179589624504612E-8</v>
      </c>
      <c r="BE19" s="65">
        <f t="shared" ref="BE19:BE39" si="21">EXP(-$AV19)*POWER($AV19,3)/FACT(3)</f>
        <v>6.5289087414372918E-10</v>
      </c>
      <c r="BF19" s="65">
        <f t="shared" ref="BF19:BF39" si="22">EXP(-$AW19)*POWER($AW19,3)/FACT(3)</f>
        <v>6.9605398388211517E-12</v>
      </c>
      <c r="BG19" s="65">
        <f t="shared" ref="BG19:BG39" si="23">EXP(-$AV19)*POWER($AV19,4)/FACT(4)</f>
        <v>2.5743813612924318E-13</v>
      </c>
      <c r="BH19" s="65">
        <f t="shared" ref="BH19:BH39" si="24">EXP(-$AW19)*POWER($AW19,4)/FACT(4)</f>
        <v>6.0380664545220234E-16</v>
      </c>
      <c r="BI19" s="65">
        <f t="shared" ref="BI19:BI39" si="25">EXP(-$AV19)*POWER($AV19,5)/FACT(5)</f>
        <v>8.1207315413152989E-17</v>
      </c>
      <c r="BJ19" s="65">
        <f t="shared" ref="BJ19:BJ39" si="26">EXP(-$AW19)*POWER($AW19,5)/FACT(5)</f>
        <v>4.1902780362965397E-20</v>
      </c>
    </row>
    <row r="20" spans="1:62" x14ac:dyDescent="0.3">
      <c r="A20" s="61"/>
      <c r="B20" s="62">
        <f t="shared" si="0"/>
        <v>6917</v>
      </c>
      <c r="C20" s="63">
        <v>60</v>
      </c>
      <c r="D20" s="64">
        <f t="shared" ref="D20:D35" si="27">((C20^2)*3.1428)/1000000</f>
        <v>1.1314080000000001E-2</v>
      </c>
      <c r="E20" s="65">
        <f t="shared" si="1"/>
        <v>2.2398251677160849E-2</v>
      </c>
      <c r="F20" s="65">
        <f t="shared" ref="F20:F35" si="28">1*E20</f>
        <v>2.2398251677160849E-2</v>
      </c>
      <c r="G20" s="65">
        <f t="shared" ref="G20:G35" si="29">1*($E20-($E20*0.78))</f>
        <v>4.9276153689753847E-3</v>
      </c>
      <c r="H20" s="65">
        <f t="shared" si="2"/>
        <v>0.97785072680323937</v>
      </c>
      <c r="I20" s="65">
        <f t="shared" ref="I20:I35" si="30">1-H20</f>
        <v>2.2149273196760633E-2</v>
      </c>
      <c r="J20" s="65"/>
      <c r="K20" s="66">
        <f t="shared" ref="K20:K34" si="31">SUM(M20,O20,Q20,S20,U20)</f>
        <v>4.9154945893822612E-3</v>
      </c>
      <c r="L20" s="65">
        <f t="shared" si="3"/>
        <v>2.1902146681633611E-2</v>
      </c>
      <c r="M20" s="65">
        <f t="shared" si="4"/>
        <v>4.9033937022906291E-3</v>
      </c>
      <c r="N20" s="65">
        <f t="shared" si="5"/>
        <v>2.4528489682266151E-4</v>
      </c>
      <c r="O20" s="65">
        <f t="shared" si="6"/>
        <v>1.2081019083772208E-5</v>
      </c>
      <c r="P20" s="65">
        <f t="shared" si="7"/>
        <v>1.831317617213468E-6</v>
      </c>
      <c r="Q20" s="65">
        <f t="shared" si="8"/>
        <v>1.9843538436693617E-8</v>
      </c>
      <c r="R20" s="65">
        <f t="shared" si="9"/>
        <v>1.0254578222791442E-8</v>
      </c>
      <c r="S20" s="65">
        <f t="shared" si="10"/>
        <v>2.4445331243876316E-11</v>
      </c>
      <c r="T20" s="65">
        <f t="shared" si="11"/>
        <v>4.5936924775443115E-11</v>
      </c>
      <c r="U20" s="67">
        <f t="shared" si="12"/>
        <v>2.4091437987403814E-14</v>
      </c>
      <c r="V20" s="68"/>
      <c r="W20" s="62">
        <f t="shared" ref="W20:W35" si="32">ROUNDUP($F$3/$P$13,0)</f>
        <v>1978</v>
      </c>
      <c r="X20" s="63">
        <v>60</v>
      </c>
      <c r="Y20" s="64">
        <f t="shared" si="13"/>
        <v>1.1314080000000001E-2</v>
      </c>
      <c r="Z20" s="65">
        <f t="shared" ref="Z20:Z35" si="33">W20/(839/$Y20)</f>
        <v>2.6673718998808105E-2</v>
      </c>
      <c r="AA20" s="65">
        <f t="shared" ref="AA20:AA35" si="34">(1*$Z20)*0.72</f>
        <v>1.9205077679141834E-2</v>
      </c>
      <c r="AB20" s="65">
        <f t="shared" ref="AB20:AB35" si="35">(1*($Z20*0.22))*0.72</f>
        <v>4.2251170894112037E-3</v>
      </c>
      <c r="AC20" s="65">
        <f t="shared" ref="AC20:AC35" si="36">EXP(-$AA20)</f>
        <v>0.9809781648876239</v>
      </c>
      <c r="AD20" s="65">
        <f t="shared" ref="AD20:AD35" si="37">1-AC20</f>
        <v>1.9021835112376095E-2</v>
      </c>
      <c r="AE20" s="65">
        <f t="shared" ref="AE20:AE35" si="38">EXP(-AB20)</f>
        <v>0.99578379616020529</v>
      </c>
      <c r="AF20" s="65">
        <f t="shared" ref="AF20:AF35" si="39">1-AE20</f>
        <v>4.2162038397947077E-3</v>
      </c>
      <c r="AG20" s="154">
        <f t="shared" ref="AG20:AG35" si="40">EXP(-$AA20)*POWER($AA20,1)</f>
        <v>1.8839761858208823E-2</v>
      </c>
      <c r="AH20" s="154">
        <f t="shared" ref="AH20:AH35" si="41">EXP(-$AB20)*POWER($AB20,1)</f>
        <v>4.2073031345152461E-3</v>
      </c>
      <c r="AI20" s="154">
        <f t="shared" ref="AI20:AI35" si="42">EXP(-$AA20)*POWER($AA20,2)/FACT(2)</f>
        <v>1.8090954497171696E-4</v>
      </c>
      <c r="AJ20" s="154">
        <f t="shared" ref="AJ20:AJ35" si="43">EXP(-$AB20)*POWER($AB20,2)/FACT(2)</f>
        <v>8.8881741869868459E-6</v>
      </c>
      <c r="AK20" s="154">
        <f t="shared" ref="AK20:AK35" si="44">EXP(-$AA20)*POWER($AA20,3)/FACT(3)</f>
        <v>1.1581272880266757E-6</v>
      </c>
      <c r="AL20" s="154">
        <f t="shared" ref="AL20:AL35" si="45">EXP(-$AB20)*POWER($AB20,3)/FACT(3)</f>
        <v>1.251785888370055E-8</v>
      </c>
      <c r="AM20" s="154">
        <f t="shared" ref="AM20:AM35" si="46">EXP(-$AA20)*POWER($AA20,4)/FACT(4)</f>
        <v>5.5604811322215446E-9</v>
      </c>
      <c r="AN20" s="154">
        <f t="shared" ref="AN20:AN35" si="47">EXP(-$AB20)*POWER($AB20,4)/FACT(4)</f>
        <v>1.3222354873090263E-11</v>
      </c>
      <c r="AO20" s="154">
        <f t="shared" ref="AO20:AO35" si="48">EXP(-$AA20)*POWER($AA20,5)/FACT(5)</f>
        <v>2.1357894415543454E-11</v>
      </c>
      <c r="AP20" s="154">
        <f t="shared" ref="AP20:AP35" si="49">EXP(-$AB20)*POWER($AB20,5)/FACT(5)</f>
        <v>1.1173199507310635E-14</v>
      </c>
      <c r="AQ20" s="68"/>
      <c r="AR20" s="62">
        <f t="shared" ref="AR20:AR39" si="50">ROUNDUP($F$5/$P$13,0)</f>
        <v>813</v>
      </c>
      <c r="AS20" s="63">
        <v>60</v>
      </c>
      <c r="AT20" s="64">
        <f t="shared" si="14"/>
        <v>1.1314080000000001E-2</v>
      </c>
      <c r="AU20" s="65">
        <f t="shared" si="15"/>
        <v>6.3088800000000002E-3</v>
      </c>
      <c r="AV20" s="65">
        <f t="shared" ref="AV20:AV39" si="51">1*AU20</f>
        <v>6.3088800000000002E-3</v>
      </c>
      <c r="AW20" s="65">
        <f t="shared" ref="AW20:AW39" si="52">1*($AU20-($AU20*0.78))</f>
        <v>1.3879536000000001E-3</v>
      </c>
      <c r="AX20" s="65">
        <f t="shared" si="16"/>
        <v>0.99371097919838003</v>
      </c>
      <c r="AY20" s="65">
        <f t="shared" ref="AY20:AZ35" si="53">SUM(BA20,BC20,BE20,BG20,BI20)</f>
        <v>6.2890208016198306E-3</v>
      </c>
      <c r="AZ20" s="65">
        <f t="shared" si="53"/>
        <v>1.3869908378766895E-3</v>
      </c>
      <c r="BA20" s="65">
        <f t="shared" si="17"/>
        <v>6.269203322445076E-3</v>
      </c>
      <c r="BB20" s="65">
        <f t="shared" si="18"/>
        <v>1.3860285210734022E-3</v>
      </c>
      <c r="BC20" s="65">
        <f t="shared" si="19"/>
        <v>1.9775825728453647E-5</v>
      </c>
      <c r="BD20" s="65">
        <f t="shared" si="20"/>
        <v>9.6187163776325226E-7</v>
      </c>
      <c r="BE20" s="65">
        <f t="shared" si="21"/>
        <v>4.158777047390888E-8</v>
      </c>
      <c r="BF20" s="65">
        <f t="shared" si="22"/>
        <v>4.4501106745713395E-10</v>
      </c>
      <c r="BG20" s="65">
        <f t="shared" si="23"/>
        <v>6.5593063346858577E-11</v>
      </c>
      <c r="BH20" s="65">
        <f t="shared" si="24"/>
        <v>1.5441367827924298E-13</v>
      </c>
      <c r="BI20" s="65">
        <f t="shared" si="25"/>
        <v>8.2763753097545836E-14</v>
      </c>
      <c r="BJ20" s="65">
        <f t="shared" si="26"/>
        <v>4.2863804131383427E-17</v>
      </c>
    </row>
    <row r="21" spans="1:62" x14ac:dyDescent="0.3">
      <c r="A21" s="69"/>
      <c r="B21" s="62">
        <f t="shared" si="0"/>
        <v>6917</v>
      </c>
      <c r="C21" s="63">
        <v>90</v>
      </c>
      <c r="D21" s="64">
        <f t="shared" si="27"/>
        <v>2.5456679999999999E-2</v>
      </c>
      <c r="E21" s="65">
        <f t="shared" si="1"/>
        <v>5.03960662736119E-2</v>
      </c>
      <c r="F21" s="65">
        <f t="shared" si="28"/>
        <v>5.03960662736119E-2</v>
      </c>
      <c r="G21" s="65">
        <f t="shared" si="29"/>
        <v>1.108713458019462E-2</v>
      </c>
      <c r="H21" s="65">
        <f t="shared" si="2"/>
        <v>0.95085274920631613</v>
      </c>
      <c r="I21" s="65">
        <f t="shared" si="30"/>
        <v>4.9147250793683872E-2</v>
      </c>
      <c r="J21" s="65"/>
      <c r="K21" s="66">
        <f t="shared" si="31"/>
        <v>1.1025898822228092E-2</v>
      </c>
      <c r="L21" s="65">
        <f t="shared" si="3"/>
        <v>4.7919238165447582E-2</v>
      </c>
      <c r="M21" s="65">
        <f t="shared" si="4"/>
        <v>1.0964888956084939E-2</v>
      </c>
      <c r="N21" s="65">
        <f t="shared" si="5"/>
        <v>1.2074705511834446E-3</v>
      </c>
      <c r="O21" s="65">
        <f t="shared" si="6"/>
        <v>6.0784599756501718E-5</v>
      </c>
      <c r="P21" s="65">
        <f t="shared" si="7"/>
        <v>2.0283921973625187E-5</v>
      </c>
      <c r="Q21" s="65">
        <f t="shared" si="8"/>
        <v>2.2464234596786655E-7</v>
      </c>
      <c r="R21" s="65">
        <f t="shared" si="9"/>
        <v>2.5555746901789693E-7</v>
      </c>
      <c r="S21" s="65">
        <f t="shared" si="10"/>
        <v>6.2265998053909419E-10</v>
      </c>
      <c r="T21" s="65">
        <f t="shared" si="11"/>
        <v>2.5758182290684909E-9</v>
      </c>
      <c r="U21" s="67">
        <f t="shared" si="12"/>
        <v>1.3807030003876604E-12</v>
      </c>
      <c r="V21" s="68"/>
      <c r="W21" s="62">
        <f t="shared" si="32"/>
        <v>1978</v>
      </c>
      <c r="X21" s="63">
        <v>90</v>
      </c>
      <c r="Y21" s="64">
        <f t="shared" si="13"/>
        <v>2.5456679999999999E-2</v>
      </c>
      <c r="Z21" s="65">
        <f t="shared" si="33"/>
        <v>6.0015867747318236E-2</v>
      </c>
      <c r="AA21" s="65">
        <f t="shared" si="34"/>
        <v>4.3211424778069128E-2</v>
      </c>
      <c r="AB21" s="65">
        <f t="shared" si="35"/>
        <v>9.5065134511752077E-3</v>
      </c>
      <c r="AC21" s="65">
        <f t="shared" si="36"/>
        <v>0.95770888527199582</v>
      </c>
      <c r="AD21" s="65">
        <f t="shared" si="37"/>
        <v>4.2291114728004175E-2</v>
      </c>
      <c r="AE21" s="65">
        <f t="shared" si="38"/>
        <v>0.99053853059753239</v>
      </c>
      <c r="AF21" s="65">
        <f t="shared" si="39"/>
        <v>9.4614694024676149E-3</v>
      </c>
      <c r="AG21" s="154">
        <f t="shared" si="40"/>
        <v>4.1383965455219288E-2</v>
      </c>
      <c r="AH21" s="154">
        <f t="shared" si="41"/>
        <v>9.4165678650327666E-3</v>
      </c>
      <c r="AI21" s="154">
        <f t="shared" si="42"/>
        <v>8.9413005514320969E-4</v>
      </c>
      <c r="AJ21" s="154">
        <f t="shared" si="43"/>
        <v>4.47593645364191E-5</v>
      </c>
      <c r="AK21" s="154">
        <f t="shared" si="44"/>
        <v>1.2878877873210534E-5</v>
      </c>
      <c r="AL21" s="154">
        <f t="shared" si="45"/>
        <v>1.4183516701050757E-7</v>
      </c>
      <c r="AM21" s="154">
        <f t="shared" si="46"/>
        <v>1.3912866561104399E-7</v>
      </c>
      <c r="AN21" s="154">
        <f t="shared" si="47"/>
        <v>3.370894807587681E-10</v>
      </c>
      <c r="AO21" s="154">
        <f t="shared" si="48"/>
        <v>1.2023895737049523E-9</v>
      </c>
      <c r="AP21" s="154">
        <f t="shared" si="49"/>
        <v>6.4090913661657913E-13</v>
      </c>
      <c r="AQ21" s="68"/>
      <c r="AR21" s="62">
        <f t="shared" si="50"/>
        <v>813</v>
      </c>
      <c r="AS21" s="63">
        <v>90</v>
      </c>
      <c r="AT21" s="64">
        <f t="shared" si="14"/>
        <v>2.5456679999999999E-2</v>
      </c>
      <c r="AU21" s="65">
        <f t="shared" si="15"/>
        <v>1.4194979999999999E-2</v>
      </c>
      <c r="AV21" s="65">
        <f t="shared" si="51"/>
        <v>1.4194979999999999E-2</v>
      </c>
      <c r="AW21" s="65">
        <f t="shared" si="52"/>
        <v>3.1228955999999999E-3</v>
      </c>
      <c r="AX21" s="65">
        <f t="shared" si="16"/>
        <v>0.98590529370679736</v>
      </c>
      <c r="AY21" s="65">
        <f t="shared" si="53"/>
        <v>1.4094706293191464E-2</v>
      </c>
      <c r="AZ21" s="65">
        <f t="shared" si="53"/>
        <v>3.1180244335698212E-3</v>
      </c>
      <c r="BA21" s="65">
        <f t="shared" si="17"/>
        <v>1.3994905926062114E-2</v>
      </c>
      <c r="BB21" s="65">
        <f t="shared" si="18"/>
        <v>3.1131583352157124E-3</v>
      </c>
      <c r="BC21" s="65">
        <f t="shared" si="19"/>
        <v>9.9328704861166594E-5</v>
      </c>
      <c r="BD21" s="65">
        <f t="shared" si="20"/>
        <v>4.8610342335742364E-6</v>
      </c>
      <c r="BE21" s="65">
        <f t="shared" si="21"/>
        <v>4.6998965964338746E-7</v>
      </c>
      <c r="BF21" s="65">
        <f t="shared" si="22"/>
        <v>5.0601674731594515E-9</v>
      </c>
      <c r="BG21" s="65">
        <f t="shared" si="23"/>
        <v>1.6678734547111731E-9</v>
      </c>
      <c r="BH21" s="65">
        <f t="shared" si="24"/>
        <v>3.950593684298192E-12</v>
      </c>
      <c r="BI21" s="65">
        <f t="shared" si="25"/>
        <v>4.7350860664312012E-12</v>
      </c>
      <c r="BJ21" s="65">
        <f t="shared" si="26"/>
        <v>2.4674583268165226E-15</v>
      </c>
    </row>
    <row r="22" spans="1:62" x14ac:dyDescent="0.3">
      <c r="A22" s="70"/>
      <c r="B22" s="62">
        <f t="shared" si="0"/>
        <v>6917</v>
      </c>
      <c r="C22" s="63">
        <v>120</v>
      </c>
      <c r="D22" s="64">
        <f t="shared" si="27"/>
        <v>4.5256320000000003E-2</v>
      </c>
      <c r="E22" s="65">
        <f t="shared" si="1"/>
        <v>8.9593006708643397E-2</v>
      </c>
      <c r="F22" s="65">
        <f t="shared" si="28"/>
        <v>8.9593006708643397E-2</v>
      </c>
      <c r="G22" s="65">
        <f t="shared" si="29"/>
        <v>1.9710461475901539E-2</v>
      </c>
      <c r="H22" s="65">
        <f t="shared" si="2"/>
        <v>0.91430322483606319</v>
      </c>
      <c r="I22" s="65">
        <f t="shared" si="30"/>
        <v>8.5696775163936811E-2</v>
      </c>
      <c r="J22" s="65"/>
      <c r="K22" s="66">
        <f t="shared" si="31"/>
        <v>1.9517480325725929E-2</v>
      </c>
      <c r="L22" s="65">
        <f t="shared" si="3"/>
        <v>8.1915174956471701E-2</v>
      </c>
      <c r="M22" s="65">
        <f t="shared" si="4"/>
        <v>1.9325762931833072E-2</v>
      </c>
      <c r="N22" s="65">
        <f t="shared" si="5"/>
        <v>3.6695134097074335E-3</v>
      </c>
      <c r="O22" s="65">
        <f t="shared" si="6"/>
        <v>1.9045985288015086E-4</v>
      </c>
      <c r="P22" s="65">
        <f t="shared" si="7"/>
        <v>1.0958757984445833E-4</v>
      </c>
      <c r="Q22" s="65">
        <f t="shared" si="8"/>
        <v>1.2513505309666962E-6</v>
      </c>
      <c r="R22" s="65">
        <f t="shared" si="9"/>
        <v>2.4545701940471377E-6</v>
      </c>
      <c r="S22" s="65">
        <f t="shared" si="10"/>
        <v>6.1661741083670002E-9</v>
      </c>
      <c r="T22" s="65">
        <f t="shared" si="11"/>
        <v>4.3982464772420269E-8</v>
      </c>
      <c r="U22" s="67">
        <f t="shared" si="12"/>
        <v>2.4307627443333855E-11</v>
      </c>
      <c r="V22" s="38"/>
      <c r="W22" s="62">
        <f t="shared" si="32"/>
        <v>1978</v>
      </c>
      <c r="X22" s="63">
        <v>120</v>
      </c>
      <c r="Y22" s="64">
        <f t="shared" si="13"/>
        <v>4.5256320000000003E-2</v>
      </c>
      <c r="Z22" s="65">
        <f t="shared" si="33"/>
        <v>0.10669487599523242</v>
      </c>
      <c r="AA22" s="65">
        <f t="shared" si="34"/>
        <v>7.6820310716567336E-2</v>
      </c>
      <c r="AB22" s="65">
        <f t="shared" si="35"/>
        <v>1.6900468357644815E-2</v>
      </c>
      <c r="AC22" s="65">
        <f t="shared" si="36"/>
        <v>0.9260562410393991</v>
      </c>
      <c r="AD22" s="65">
        <f t="shared" si="37"/>
        <v>7.3943758960600903E-2</v>
      </c>
      <c r="AE22" s="65">
        <f t="shared" si="38"/>
        <v>0.983241543410454</v>
      </c>
      <c r="AF22" s="65">
        <f t="shared" si="39"/>
        <v>1.6758456589546E-2</v>
      </c>
      <c r="AG22" s="154">
        <f t="shared" si="40"/>
        <v>7.1139928177663014E-2</v>
      </c>
      <c r="AH22" s="154">
        <f t="shared" si="41"/>
        <v>1.6617242592330227E-2</v>
      </c>
      <c r="AI22" s="154">
        <f t="shared" si="42"/>
        <v>2.732495693481178E-3</v>
      </c>
      <c r="AJ22" s="154">
        <f t="shared" si="43"/>
        <v>1.4041959131149236E-4</v>
      </c>
      <c r="AK22" s="154">
        <f t="shared" si="44"/>
        <v>6.9970389401635417E-5</v>
      </c>
      <c r="AL22" s="154">
        <f t="shared" si="45"/>
        <v>7.9105228658443109E-7</v>
      </c>
      <c r="AM22" s="154">
        <f t="shared" si="46"/>
        <v>1.3437867636982104E-6</v>
      </c>
      <c r="AN22" s="154">
        <f t="shared" si="47"/>
        <v>3.342288534665689E-9</v>
      </c>
      <c r="AO22" s="154">
        <f t="shared" si="48"/>
        <v>2.0646023344821394E-8</v>
      </c>
      <c r="AP22" s="154">
        <f t="shared" si="49"/>
        <v>1.1297248324447307E-11</v>
      </c>
      <c r="AQ22" s="38"/>
      <c r="AR22" s="62">
        <f t="shared" si="50"/>
        <v>813</v>
      </c>
      <c r="AS22" s="63">
        <v>120</v>
      </c>
      <c r="AT22" s="64">
        <f t="shared" si="14"/>
        <v>4.5256320000000003E-2</v>
      </c>
      <c r="AU22" s="65">
        <f t="shared" si="15"/>
        <v>2.5235520000000001E-2</v>
      </c>
      <c r="AV22" s="65">
        <f t="shared" si="51"/>
        <v>2.5235520000000001E-2</v>
      </c>
      <c r="AW22" s="65">
        <f t="shared" si="52"/>
        <v>5.5518144000000005E-3</v>
      </c>
      <c r="AX22" s="65">
        <f t="shared" si="16"/>
        <v>0.97508023408578792</v>
      </c>
      <c r="AY22" s="65">
        <f t="shared" si="53"/>
        <v>2.4919765913861018E-2</v>
      </c>
      <c r="AZ22" s="65">
        <f t="shared" si="53"/>
        <v>5.5364315591587086E-3</v>
      </c>
      <c r="BA22" s="65">
        <f t="shared" si="17"/>
        <v>2.4606656748876583E-2</v>
      </c>
      <c r="BB22" s="65">
        <f t="shared" si="18"/>
        <v>5.5210771595452486E-3</v>
      </c>
      <c r="BC22" s="65">
        <f t="shared" si="19"/>
        <v>3.1048088925970501E-4</v>
      </c>
      <c r="BD22" s="65">
        <f t="shared" si="20"/>
        <v>1.5325997838937207E-5</v>
      </c>
      <c r="BE22" s="65">
        <f t="shared" si="21"/>
        <v>2.611715563510357E-6</v>
      </c>
      <c r="BF22" s="65">
        <f t="shared" si="22"/>
        <v>2.8362365165526821E-8</v>
      </c>
      <c r="BG22" s="65">
        <f t="shared" si="23"/>
        <v>1.6477000084319224E-8</v>
      </c>
      <c r="BH22" s="65">
        <f t="shared" si="24"/>
        <v>3.936564683600755E-11</v>
      </c>
      <c r="BI22" s="65">
        <f t="shared" si="25"/>
        <v>8.3161133033567896E-11</v>
      </c>
      <c r="BJ22" s="65">
        <f t="shared" si="26"/>
        <v>4.371015299389223E-14</v>
      </c>
    </row>
    <row r="23" spans="1:62" x14ac:dyDescent="0.3">
      <c r="A23" s="75"/>
      <c r="B23" s="62">
        <f t="shared" si="0"/>
        <v>6917</v>
      </c>
      <c r="C23" s="63">
        <v>150</v>
      </c>
      <c r="D23" s="64">
        <f t="shared" si="27"/>
        <v>7.0712999999999998E-2</v>
      </c>
      <c r="E23" s="65">
        <f t="shared" si="1"/>
        <v>0.1399890729822553</v>
      </c>
      <c r="F23" s="65">
        <f t="shared" si="28"/>
        <v>0.1399890729822553</v>
      </c>
      <c r="G23" s="65">
        <f t="shared" si="29"/>
        <v>3.0797596056096166E-2</v>
      </c>
      <c r="H23" s="65">
        <f t="shared" si="2"/>
        <v>0.86936773494357122</v>
      </c>
      <c r="I23" s="65">
        <f t="shared" si="30"/>
        <v>0.13063226505642878</v>
      </c>
      <c r="J23" s="65"/>
      <c r="K23" s="66">
        <f t="shared" si="31"/>
        <v>3.0328181383545174E-2</v>
      </c>
      <c r="L23" s="65">
        <f t="shared" si="3"/>
        <v>0.12170198329543357</v>
      </c>
      <c r="M23" s="65">
        <f t="shared" si="4"/>
        <v>2.9863560976694178E-2</v>
      </c>
      <c r="N23" s="65">
        <f t="shared" si="5"/>
        <v>8.5184739108148319E-3</v>
      </c>
      <c r="O23" s="65">
        <f t="shared" si="6"/>
        <v>4.5986294387841196E-4</v>
      </c>
      <c r="P23" s="65">
        <f t="shared" si="7"/>
        <v>3.9749775533283178E-4</v>
      </c>
      <c r="Q23" s="65">
        <f t="shared" si="8"/>
        <v>4.7208910622448509E-6</v>
      </c>
      <c r="R23" s="65">
        <f t="shared" si="9"/>
        <v>1.3911335570392609E-5</v>
      </c>
      <c r="S23" s="65">
        <f t="shared" si="10"/>
        <v>3.6348023989962914E-8</v>
      </c>
      <c r="T23" s="65">
        <f t="shared" si="11"/>
        <v>3.8948699408886702E-7</v>
      </c>
      <c r="U23" s="67">
        <f t="shared" si="12"/>
        <v>2.2388635205603415E-10</v>
      </c>
      <c r="V23" s="76"/>
      <c r="W23" s="62">
        <f t="shared" si="32"/>
        <v>1978</v>
      </c>
      <c r="X23" s="63">
        <v>150</v>
      </c>
      <c r="Y23" s="64">
        <f t="shared" si="13"/>
        <v>7.0712999999999998E-2</v>
      </c>
      <c r="Z23" s="65">
        <f t="shared" si="33"/>
        <v>0.16671074374255065</v>
      </c>
      <c r="AA23" s="65">
        <f t="shared" si="34"/>
        <v>0.12003173549463647</v>
      </c>
      <c r="AB23" s="65">
        <f t="shared" si="35"/>
        <v>2.6406981808820024E-2</v>
      </c>
      <c r="AC23" s="65">
        <f t="shared" si="36"/>
        <v>0.88689229030501759</v>
      </c>
      <c r="AD23" s="65">
        <f t="shared" si="37"/>
        <v>0.11310770969498241</v>
      </c>
      <c r="AE23" s="65">
        <f t="shared" si="38"/>
        <v>0.97393863363224098</v>
      </c>
      <c r="AF23" s="65">
        <f t="shared" si="39"/>
        <v>2.606136636775902E-2</v>
      </c>
      <c r="AG23" s="154">
        <f t="shared" si="40"/>
        <v>0.10645522080212422</v>
      </c>
      <c r="AH23" s="154">
        <f t="shared" si="41"/>
        <v>2.5718779781233617E-2</v>
      </c>
      <c r="AI23" s="154">
        <f t="shared" si="42"/>
        <v>6.3890024526718483E-3</v>
      </c>
      <c r="AJ23" s="154">
        <f t="shared" si="43"/>
        <v>3.3957767491404222E-4</v>
      </c>
      <c r="AK23" s="154">
        <f t="shared" si="44"/>
        <v>2.5562768415789697E-4</v>
      </c>
      <c r="AL23" s="154">
        <f t="shared" si="45"/>
        <v>2.9890738280455041E-6</v>
      </c>
      <c r="AM23" s="154">
        <f t="shared" si="46"/>
        <v>7.6708586424867909E-6</v>
      </c>
      <c r="AN23" s="154">
        <f t="shared" si="47"/>
        <v>1.9733104550604416E-8</v>
      </c>
      <c r="AO23" s="154">
        <f t="shared" si="48"/>
        <v>1.8414929511834414E-7</v>
      </c>
      <c r="AP23" s="154">
        <f t="shared" si="49"/>
        <v>1.0421834657987089E-10</v>
      </c>
      <c r="AQ23" s="76"/>
      <c r="AR23" s="62">
        <f t="shared" si="50"/>
        <v>813</v>
      </c>
      <c r="AS23" s="63">
        <v>150</v>
      </c>
      <c r="AT23" s="64">
        <f t="shared" si="14"/>
        <v>7.0712999999999998E-2</v>
      </c>
      <c r="AU23" s="65">
        <f t="shared" si="15"/>
        <v>3.94305E-2</v>
      </c>
      <c r="AV23" s="65">
        <f t="shared" si="51"/>
        <v>3.94305E-2</v>
      </c>
      <c r="AW23" s="65">
        <f t="shared" si="52"/>
        <v>8.6747099999999987E-3</v>
      </c>
      <c r="AX23" s="65">
        <f t="shared" si="16"/>
        <v>0.96133676457404149</v>
      </c>
      <c r="AY23" s="65">
        <f t="shared" si="53"/>
        <v>3.866323542091208E-2</v>
      </c>
      <c r="AZ23" s="65">
        <f t="shared" si="53"/>
        <v>8.6371932638517369E-3</v>
      </c>
      <c r="BA23" s="65">
        <f t="shared" si="17"/>
        <v>3.7905989295536742E-2</v>
      </c>
      <c r="BB23" s="65">
        <f t="shared" si="18"/>
        <v>8.5997848532221258E-3</v>
      </c>
      <c r="BC23" s="65">
        <f t="shared" si="19"/>
        <v>7.4732605545883076E-4</v>
      </c>
      <c r="BD23" s="65">
        <f t="shared" si="20"/>
        <v>3.7300319832047245E-5</v>
      </c>
      <c r="BE23" s="65">
        <f t="shared" si="21"/>
        <v>9.8224800099231433E-6</v>
      </c>
      <c r="BF23" s="65">
        <f t="shared" si="22"/>
        <v>1.0785648581675283E-7</v>
      </c>
      <c r="BG23" s="65">
        <f t="shared" si="23"/>
        <v>9.6826324507818613E-8</v>
      </c>
      <c r="BH23" s="65">
        <f t="shared" si="24"/>
        <v>2.3390593401986098E-10</v>
      </c>
      <c r="BI23" s="65">
        <f t="shared" si="25"/>
        <v>7.6358207770110846E-10</v>
      </c>
      <c r="BJ23" s="65">
        <f t="shared" si="26"/>
        <v>4.0581322898028563E-13</v>
      </c>
    </row>
    <row r="24" spans="1:62" x14ac:dyDescent="0.3">
      <c r="A24" s="75"/>
      <c r="B24" s="62">
        <f t="shared" si="0"/>
        <v>6917</v>
      </c>
      <c r="C24" s="63">
        <v>180</v>
      </c>
      <c r="D24" s="64">
        <f t="shared" si="27"/>
        <v>0.10182672</v>
      </c>
      <c r="E24" s="65">
        <f t="shared" si="1"/>
        <v>0.2015842650944476</v>
      </c>
      <c r="F24" s="65">
        <f t="shared" si="28"/>
        <v>0.2015842650944476</v>
      </c>
      <c r="G24" s="65">
        <f t="shared" si="29"/>
        <v>4.434853832077848E-2</v>
      </c>
      <c r="H24" s="65">
        <f t="shared" si="2"/>
        <v>0.81743469344622832</v>
      </c>
      <c r="I24" s="65">
        <f t="shared" si="30"/>
        <v>0.18256530655377168</v>
      </c>
      <c r="J24" s="65"/>
      <c r="K24" s="66">
        <f t="shared" si="31"/>
        <v>4.3379519524046548E-2</v>
      </c>
      <c r="L24" s="65">
        <f t="shared" si="3"/>
        <v>0.164781971941063</v>
      </c>
      <c r="M24" s="65">
        <f t="shared" si="4"/>
        <v>4.2424720036378191E-2</v>
      </c>
      <c r="N24" s="65">
        <f t="shared" si="5"/>
        <v>1.6608726357276535E-2</v>
      </c>
      <c r="O24" s="65">
        <f t="shared" si="6"/>
        <v>9.4073716114080846E-4</v>
      </c>
      <c r="P24" s="65">
        <f t="shared" si="7"/>
        <v>1.1160192989621241E-3</v>
      </c>
      <c r="Q24" s="65">
        <f t="shared" si="8"/>
        <v>1.3906772680211169E-5</v>
      </c>
      <c r="R24" s="65">
        <f t="shared" si="9"/>
        <v>5.6242982553125099E-5</v>
      </c>
      <c r="S24" s="65">
        <f t="shared" si="10"/>
        <v>1.5418626028167508E-7</v>
      </c>
      <c r="T24" s="65">
        <f t="shared" si="11"/>
        <v>2.2675400609383121E-6</v>
      </c>
      <c r="U24" s="67">
        <f t="shared" si="12"/>
        <v>1.3675870545278784E-9</v>
      </c>
      <c r="V24" s="76"/>
      <c r="W24" s="62">
        <f t="shared" si="32"/>
        <v>1978</v>
      </c>
      <c r="X24" s="63">
        <v>180</v>
      </c>
      <c r="Y24" s="64">
        <f t="shared" si="13"/>
        <v>0.10182672</v>
      </c>
      <c r="Z24" s="65">
        <f t="shared" si="33"/>
        <v>0.24006347098927294</v>
      </c>
      <c r="AA24" s="65">
        <f t="shared" si="34"/>
        <v>0.17284569911227651</v>
      </c>
      <c r="AB24" s="65">
        <f t="shared" si="35"/>
        <v>3.8026053804700831E-2</v>
      </c>
      <c r="AC24" s="65">
        <f t="shared" si="36"/>
        <v>0.84126741313902986</v>
      </c>
      <c r="AD24" s="65">
        <f t="shared" si="37"/>
        <v>0.15873258686097014</v>
      </c>
      <c r="AE24" s="65">
        <f t="shared" si="38"/>
        <v>0.96268785888299691</v>
      </c>
      <c r="AF24" s="65">
        <f t="shared" si="39"/>
        <v>3.7312141117003095E-2</v>
      </c>
      <c r="AG24" s="154">
        <f t="shared" si="40"/>
        <v>0.14540945416439197</v>
      </c>
      <c r="AH24" s="154">
        <f t="shared" si="41"/>
        <v>3.6607220319017079E-2</v>
      </c>
      <c r="AI24" s="154">
        <f t="shared" si="42"/>
        <v>1.2566699381289428E-2</v>
      </c>
      <c r="AJ24" s="154">
        <f t="shared" si="43"/>
        <v>6.9601406474574046E-4</v>
      </c>
      <c r="AK24" s="154">
        <f t="shared" si="44"/>
        <v>7.2403331336426131E-4</v>
      </c>
      <c r="AL24" s="154">
        <f t="shared" si="45"/>
        <v>8.8222227582833526E-6</v>
      </c>
      <c r="AM24" s="154">
        <f t="shared" si="46"/>
        <v>3.1286511057255927E-5</v>
      </c>
      <c r="AN24" s="154">
        <f t="shared" si="47"/>
        <v>8.3868579320884724E-8</v>
      </c>
      <c r="AO24" s="154">
        <f t="shared" si="48"/>
        <v>1.0815477752950742E-6</v>
      </c>
      <c r="AP24" s="154">
        <f t="shared" si="49"/>
        <v>6.3783822195595642E-10</v>
      </c>
      <c r="AQ24" s="76"/>
      <c r="AR24" s="62">
        <f t="shared" si="50"/>
        <v>813</v>
      </c>
      <c r="AS24" s="63">
        <v>180</v>
      </c>
      <c r="AT24" s="64">
        <f t="shared" si="14"/>
        <v>0.10182672</v>
      </c>
      <c r="AU24" s="65">
        <f t="shared" si="15"/>
        <v>5.6779919999999998E-2</v>
      </c>
      <c r="AV24" s="65">
        <f t="shared" si="51"/>
        <v>5.6779919999999998E-2</v>
      </c>
      <c r="AW24" s="65">
        <f t="shared" si="52"/>
        <v>1.2491582399999999E-2</v>
      </c>
      <c r="AX24" s="65">
        <f t="shared" si="16"/>
        <v>0.94480197850679215</v>
      </c>
      <c r="AY24" s="65">
        <f t="shared" si="53"/>
        <v>5.5198021448876547E-2</v>
      </c>
      <c r="AZ24" s="65">
        <f t="shared" si="53"/>
        <v>1.2413886436231916E-2</v>
      </c>
      <c r="BA24" s="65">
        <f t="shared" si="17"/>
        <v>5.3645780755457374E-2</v>
      </c>
      <c r="BB24" s="65">
        <f t="shared" si="18"/>
        <v>1.2336513314677501E-2</v>
      </c>
      <c r="BC24" s="65">
        <f t="shared" si="19"/>
        <v>1.5230015698162046E-3</v>
      </c>
      <c r="BD24" s="65">
        <f t="shared" si="20"/>
        <v>7.7051286299495563E-5</v>
      </c>
      <c r="BE24" s="65">
        <f t="shared" si="21"/>
        <v>2.882530243134617E-5</v>
      </c>
      <c r="BF24" s="65">
        <f t="shared" si="22"/>
        <v>3.2083083061204667E-7</v>
      </c>
      <c r="BG24" s="65">
        <f t="shared" si="23"/>
        <v>4.0917459150691018E-7</v>
      </c>
      <c r="BH24" s="65">
        <f t="shared" si="24"/>
        <v>1.0019211892627059E-9</v>
      </c>
      <c r="BI24" s="65">
        <f t="shared" si="25"/>
        <v>4.6465801143590079E-9</v>
      </c>
      <c r="BJ24" s="65">
        <f t="shared" si="26"/>
        <v>2.5031162187962167E-12</v>
      </c>
    </row>
    <row r="25" spans="1:62" x14ac:dyDescent="0.3">
      <c r="A25" s="75"/>
      <c r="B25" s="62">
        <f t="shared" si="0"/>
        <v>6917</v>
      </c>
      <c r="C25" s="63">
        <v>210</v>
      </c>
      <c r="D25" s="64">
        <f t="shared" si="27"/>
        <v>0.13859748</v>
      </c>
      <c r="E25" s="65">
        <f t="shared" si="1"/>
        <v>0.27437858304522039</v>
      </c>
      <c r="F25" s="65">
        <f t="shared" si="28"/>
        <v>0.27437858304522039</v>
      </c>
      <c r="G25" s="65">
        <f t="shared" si="29"/>
        <v>6.0363288269948467E-2</v>
      </c>
      <c r="H25" s="65">
        <f t="shared" si="2"/>
        <v>0.76004428090891951</v>
      </c>
      <c r="I25" s="65">
        <f t="shared" si="30"/>
        <v>0.23995571909108049</v>
      </c>
      <c r="J25" s="65"/>
      <c r="K25" s="66">
        <f t="shared" si="31"/>
        <v>5.8577536221304453E-2</v>
      </c>
      <c r="L25" s="65">
        <f t="shared" si="3"/>
        <v>0.20853987284741279</v>
      </c>
      <c r="M25" s="65">
        <f t="shared" si="4"/>
        <v>5.682735556102711E-2</v>
      </c>
      <c r="N25" s="65">
        <f t="shared" si="5"/>
        <v>2.8609437410151779E-2</v>
      </c>
      <c r="O25" s="65">
        <f t="shared" si="6"/>
        <v>1.7151430226745692E-3</v>
      </c>
      <c r="P25" s="65">
        <f t="shared" si="7"/>
        <v>2.6166056327727883E-3</v>
      </c>
      <c r="Q25" s="65">
        <f t="shared" si="8"/>
        <v>3.4510557567298592E-5</v>
      </c>
      <c r="R25" s="65">
        <f t="shared" si="9"/>
        <v>1.7948513647708498E-4</v>
      </c>
      <c r="S25" s="65">
        <f t="shared" si="10"/>
        <v>5.2079268369787414E-7</v>
      </c>
      <c r="T25" s="65">
        <f t="shared" si="11"/>
        <v>9.8493754848521157E-6</v>
      </c>
      <c r="U25" s="67">
        <f t="shared" si="12"/>
        <v>6.2873517789869737E-9</v>
      </c>
      <c r="V25" s="76"/>
      <c r="W25" s="62">
        <f t="shared" si="32"/>
        <v>1978</v>
      </c>
      <c r="X25" s="63">
        <v>210</v>
      </c>
      <c r="Y25" s="64">
        <f t="shared" si="13"/>
        <v>0.13859748</v>
      </c>
      <c r="Z25" s="65">
        <f t="shared" si="33"/>
        <v>0.32675305773539925</v>
      </c>
      <c r="AA25" s="65">
        <f t="shared" si="34"/>
        <v>0.23526220156948746</v>
      </c>
      <c r="AB25" s="65">
        <f t="shared" si="35"/>
        <v>5.1757684345287241E-2</v>
      </c>
      <c r="AC25" s="65">
        <f t="shared" si="36"/>
        <v>0.79036358788453664</v>
      </c>
      <c r="AD25" s="65">
        <f t="shared" si="37"/>
        <v>0.20963641211546336</v>
      </c>
      <c r="AE25" s="65">
        <f t="shared" si="38"/>
        <v>0.94955893196186059</v>
      </c>
      <c r="AF25" s="65">
        <f t="shared" si="39"/>
        <v>5.0441068038139414E-2</v>
      </c>
      <c r="AG25" s="154">
        <f t="shared" si="40"/>
        <v>0.18594267772607517</v>
      </c>
      <c r="AH25" s="154">
        <f t="shared" si="41"/>
        <v>4.9146971467730068E-2</v>
      </c>
      <c r="AI25" s="154">
        <f t="shared" si="42"/>
        <v>2.1872641863781073E-2</v>
      </c>
      <c r="AJ25" s="154">
        <f t="shared" si="43"/>
        <v>1.2718667178768055E-3</v>
      </c>
      <c r="AK25" s="154">
        <f t="shared" si="44"/>
        <v>1.715268626338024E-3</v>
      </c>
      <c r="AL25" s="154">
        <f t="shared" si="45"/>
        <v>2.1942958704381403E-5</v>
      </c>
      <c r="AM25" s="154">
        <f t="shared" si="46"/>
        <v>1.0088446832883852E-4</v>
      </c>
      <c r="AN25" s="154">
        <f t="shared" si="47"/>
        <v>2.8392918255576137E-7</v>
      </c>
      <c r="AO25" s="154">
        <f t="shared" si="48"/>
        <v>4.7468604246419568E-6</v>
      </c>
      <c r="AP25" s="154">
        <f t="shared" si="49"/>
        <v>2.9391034014273069E-9</v>
      </c>
      <c r="AQ25" s="76"/>
      <c r="AR25" s="62">
        <f t="shared" si="50"/>
        <v>813</v>
      </c>
      <c r="AS25" s="63">
        <v>210</v>
      </c>
      <c r="AT25" s="64">
        <f t="shared" si="14"/>
        <v>0.13859748</v>
      </c>
      <c r="AU25" s="65">
        <f t="shared" si="15"/>
        <v>7.7283779999999996E-2</v>
      </c>
      <c r="AV25" s="65">
        <f t="shared" si="51"/>
        <v>7.7283779999999996E-2</v>
      </c>
      <c r="AW25" s="65">
        <f t="shared" si="52"/>
        <v>1.7002431599999999E-2</v>
      </c>
      <c r="AX25" s="65">
        <f t="shared" si="16"/>
        <v>0.92562714186177142</v>
      </c>
      <c r="AY25" s="65">
        <f t="shared" si="53"/>
        <v>7.4372857861248531E-2</v>
      </c>
      <c r="AZ25" s="65">
        <f t="shared" si="53"/>
        <v>1.6858705974334351E-2</v>
      </c>
      <c r="BA25" s="65">
        <f t="shared" si="17"/>
        <v>7.1535964393673934E-2</v>
      </c>
      <c r="BB25" s="65">
        <f t="shared" si="18"/>
        <v>1.6715792604806306E-2</v>
      </c>
      <c r="BC25" s="65">
        <f t="shared" si="19"/>
        <v>2.7642848671442645E-3</v>
      </c>
      <c r="BD25" s="65">
        <f t="shared" si="20"/>
        <v>1.4210456020150253E-4</v>
      </c>
      <c r="BE25" s="65">
        <f t="shared" si="21"/>
        <v>7.121146117656885E-5</v>
      </c>
      <c r="BF25" s="65">
        <f t="shared" si="22"/>
        <v>8.0537435495804295E-7</v>
      </c>
      <c r="BG25" s="65">
        <f t="shared" si="23"/>
        <v>1.3758727247621223E-6</v>
      </c>
      <c r="BH25" s="65">
        <f t="shared" si="24"/>
        <v>3.4233305956420616E-9</v>
      </c>
      <c r="BI25" s="65">
        <f t="shared" si="25"/>
        <v>2.1266528993703279E-8</v>
      </c>
      <c r="BJ25" s="65">
        <f t="shared" si="26"/>
        <v>1.1640988859318282E-11</v>
      </c>
    </row>
    <row r="26" spans="1:62" x14ac:dyDescent="0.3">
      <c r="A26" s="75"/>
      <c r="B26" s="62">
        <f t="shared" si="0"/>
        <v>6917</v>
      </c>
      <c r="C26" s="63">
        <v>240</v>
      </c>
      <c r="D26" s="64">
        <f t="shared" si="27"/>
        <v>0.18102528000000001</v>
      </c>
      <c r="E26" s="65">
        <f t="shared" si="1"/>
        <v>0.35837202683457359</v>
      </c>
      <c r="F26" s="65">
        <f t="shared" si="28"/>
        <v>0.35837202683457359</v>
      </c>
      <c r="G26" s="65">
        <f t="shared" si="29"/>
        <v>7.8841845903606156E-2</v>
      </c>
      <c r="H26" s="65">
        <f t="shared" si="2"/>
        <v>0.69881304943453959</v>
      </c>
      <c r="I26" s="65">
        <f t="shared" si="30"/>
        <v>0.30118695056546041</v>
      </c>
      <c r="J26" s="65"/>
      <c r="K26" s="66">
        <f t="shared" si="31"/>
        <v>7.5813922986843668E-2</v>
      </c>
      <c r="L26" s="65">
        <f t="shared" si="3"/>
        <v>0.25043504890430501</v>
      </c>
      <c r="M26" s="65">
        <f t="shared" si="4"/>
        <v>7.2864536245546466E-2</v>
      </c>
      <c r="N26" s="65">
        <f t="shared" si="5"/>
        <v>4.4874458033125675E-2</v>
      </c>
      <c r="O26" s="65">
        <f t="shared" si="6"/>
        <v>2.8723872692545498E-3</v>
      </c>
      <c r="P26" s="65">
        <f t="shared" si="7"/>
        <v>5.3605834928114214E-3</v>
      </c>
      <c r="Q26" s="65">
        <f t="shared" si="8"/>
        <v>7.5488104819349089E-5</v>
      </c>
      <c r="R26" s="65">
        <f t="shared" si="9"/>
        <v>4.8027079283369673E-4</v>
      </c>
      <c r="S26" s="65">
        <f t="shared" si="10"/>
        <v>1.4879053819305975E-6</v>
      </c>
      <c r="T26" s="65">
        <f t="shared" si="11"/>
        <v>3.4423123491451899E-5</v>
      </c>
      <c r="U26" s="67">
        <f t="shared" si="12"/>
        <v>2.3461841368263688E-8</v>
      </c>
      <c r="V26" s="76"/>
      <c r="W26" s="62">
        <f t="shared" si="32"/>
        <v>1978</v>
      </c>
      <c r="X26" s="63">
        <v>240</v>
      </c>
      <c r="Y26" s="64">
        <f t="shared" si="13"/>
        <v>0.18102528000000001</v>
      </c>
      <c r="Z26" s="65">
        <f t="shared" si="33"/>
        <v>0.42677950398092968</v>
      </c>
      <c r="AA26" s="65">
        <f t="shared" si="34"/>
        <v>0.30728124286626934</v>
      </c>
      <c r="AB26" s="65">
        <f t="shared" si="35"/>
        <v>6.760187343057926E-2</v>
      </c>
      <c r="AC26" s="65">
        <f t="shared" si="36"/>
        <v>0.73544373351503411</v>
      </c>
      <c r="AD26" s="65">
        <f t="shared" si="37"/>
        <v>0.26455626648496589</v>
      </c>
      <c r="AE26" s="65">
        <f t="shared" si="38"/>
        <v>0.93463250154669986</v>
      </c>
      <c r="AF26" s="65">
        <f t="shared" si="39"/>
        <v>6.5367498453300144E-2</v>
      </c>
      <c r="AG26" s="154">
        <f t="shared" si="40"/>
        <v>0.22598806449270906</v>
      </c>
      <c r="AH26" s="154">
        <f t="shared" si="41"/>
        <v>6.3182908073665681E-2</v>
      </c>
      <c r="AI26" s="154">
        <f t="shared" si="42"/>
        <v>3.4720946665131133E-2</v>
      </c>
      <c r="AJ26" s="154">
        <f t="shared" si="43"/>
        <v>2.1356414772859358E-3</v>
      </c>
      <c r="AK26" s="154">
        <f t="shared" si="44"/>
        <v>3.556365214918315E-3</v>
      </c>
      <c r="AL26" s="154">
        <f t="shared" si="45"/>
        <v>4.8124454946859708E-5</v>
      </c>
      <c r="AM26" s="154">
        <f t="shared" si="46"/>
        <v>2.7320108083161672E-4</v>
      </c>
      <c r="AN26" s="154">
        <f t="shared" si="47"/>
        <v>8.1332582805830604E-7</v>
      </c>
      <c r="AO26" s="154">
        <f t="shared" si="48"/>
        <v>1.6789913534069461E-5</v>
      </c>
      <c r="AP26" s="154">
        <f t="shared" si="49"/>
        <v>1.0996469937243735E-8</v>
      </c>
      <c r="AQ26" s="76"/>
      <c r="AR26" s="62">
        <f t="shared" si="50"/>
        <v>813</v>
      </c>
      <c r="AS26" s="73">
        <v>240</v>
      </c>
      <c r="AT26" s="64">
        <f t="shared" si="14"/>
        <v>0.18102528000000001</v>
      </c>
      <c r="AU26" s="65">
        <f t="shared" si="15"/>
        <v>0.10094208</v>
      </c>
      <c r="AV26" s="65">
        <f t="shared" si="51"/>
        <v>0.10094208</v>
      </c>
      <c r="AW26" s="65">
        <f t="shared" si="52"/>
        <v>2.2207257600000002E-2</v>
      </c>
      <c r="AX26" s="65">
        <f t="shared" si="16"/>
        <v>0.90398539020338209</v>
      </c>
      <c r="AY26" s="74">
        <f t="shared" si="53"/>
        <v>9.6014608449023736E-2</v>
      </c>
      <c r="AZ26" s="65">
        <f t="shared" si="53"/>
        <v>2.1962491662914845E-2</v>
      </c>
      <c r="BA26" s="65">
        <f t="shared" si="17"/>
        <v>9.125016557674101E-2</v>
      </c>
      <c r="BB26" s="65">
        <f t="shared" si="18"/>
        <v>2.1719530890100171E-2</v>
      </c>
      <c r="BC26" s="65">
        <f t="shared" si="19"/>
        <v>4.6054907568303192E-3</v>
      </c>
      <c r="BD26" s="65">
        <f t="shared" si="20"/>
        <v>2.411656087138059E-4</v>
      </c>
      <c r="BE26" s="65">
        <f t="shared" si="21"/>
        <v>1.5496260547174221E-4</v>
      </c>
      <c r="BF26" s="65">
        <f t="shared" si="22"/>
        <v>1.7852089323227639E-6</v>
      </c>
      <c r="BG26" s="65">
        <f t="shared" si="23"/>
        <v>3.9105619296342605E-6</v>
      </c>
      <c r="BH26" s="65">
        <f t="shared" si="24"/>
        <v>9.9111486574781483E-9</v>
      </c>
      <c r="BI26" s="65">
        <f t="shared" si="25"/>
        <v>7.8948051029219182E-8</v>
      </c>
      <c r="BJ26" s="65">
        <f t="shared" si="26"/>
        <v>4.4019886269702283E-11</v>
      </c>
    </row>
    <row r="27" spans="1:62" x14ac:dyDescent="0.3">
      <c r="A27" s="75"/>
      <c r="B27" s="62">
        <f t="shared" si="0"/>
        <v>6917</v>
      </c>
      <c r="C27" s="63">
        <v>270</v>
      </c>
      <c r="D27" s="64">
        <f t="shared" si="27"/>
        <v>0.22911012</v>
      </c>
      <c r="E27" s="65">
        <f t="shared" si="1"/>
        <v>0.45356459646250719</v>
      </c>
      <c r="F27" s="65">
        <f t="shared" si="28"/>
        <v>0.45356459646250719</v>
      </c>
      <c r="G27" s="65">
        <f t="shared" si="29"/>
        <v>9.9784211221751573E-2</v>
      </c>
      <c r="H27" s="65">
        <f t="shared" si="2"/>
        <v>0.63535931072162033</v>
      </c>
      <c r="I27" s="65">
        <f t="shared" si="30"/>
        <v>0.36464068927837967</v>
      </c>
      <c r="J27" s="65"/>
      <c r="K27" s="66">
        <f t="shared" si="31"/>
        <v>9.4967305876074978E-2</v>
      </c>
      <c r="L27" s="65">
        <f t="shared" si="3"/>
        <v>0.28817648937614843</v>
      </c>
      <c r="M27" s="65">
        <f t="shared" si="4"/>
        <v>9.0307973387452903E-2</v>
      </c>
      <c r="N27" s="65">
        <f t="shared" si="5"/>
        <v>6.5353326556937374E-2</v>
      </c>
      <c r="O27" s="65">
        <f t="shared" si="6"/>
        <v>4.5056549457509597E-3</v>
      </c>
      <c r="P27" s="65">
        <f t="shared" si="7"/>
        <v>9.88065172909325E-3</v>
      </c>
      <c r="Q27" s="65">
        <f t="shared" si="8"/>
        <v>1.4986440826638114E-4</v>
      </c>
      <c r="R27" s="65">
        <f t="shared" si="9"/>
        <v>1.1203784535731886E-3</v>
      </c>
      <c r="S27" s="65">
        <f t="shared" si="10"/>
        <v>3.7385254422688462E-6</v>
      </c>
      <c r="T27" s="65">
        <f t="shared" si="11"/>
        <v>1.0163280023604222E-4</v>
      </c>
      <c r="U27" s="67">
        <f t="shared" si="12"/>
        <v>7.4609162477849344E-8</v>
      </c>
      <c r="V27" s="76"/>
      <c r="W27" s="62">
        <f t="shared" si="32"/>
        <v>1978</v>
      </c>
      <c r="X27" s="63">
        <v>270</v>
      </c>
      <c r="Y27" s="64">
        <f t="shared" si="13"/>
        <v>0.22911012</v>
      </c>
      <c r="Z27" s="65">
        <f t="shared" si="33"/>
        <v>0.54014280972586415</v>
      </c>
      <c r="AA27" s="65">
        <f t="shared" si="34"/>
        <v>0.38890282300262219</v>
      </c>
      <c r="AB27" s="65">
        <f t="shared" si="35"/>
        <v>8.5558621060576878E-2</v>
      </c>
      <c r="AC27" s="65">
        <f t="shared" si="36"/>
        <v>0.67780013339550216</v>
      </c>
      <c r="AD27" s="65">
        <f t="shared" si="37"/>
        <v>0.32219986660449784</v>
      </c>
      <c r="AE27" s="65">
        <f t="shared" si="38"/>
        <v>0.91799932738262846</v>
      </c>
      <c r="AF27" s="65">
        <f t="shared" si="39"/>
        <v>8.2000672617371539E-2</v>
      </c>
      <c r="AG27" s="154">
        <f t="shared" si="40"/>
        <v>0.26359838530906471</v>
      </c>
      <c r="AH27" s="154">
        <f t="shared" si="41"/>
        <v>7.8542756585394766E-2</v>
      </c>
      <c r="AI27" s="154">
        <f t="shared" si="42"/>
        <v>5.1257078092814101E-2</v>
      </c>
      <c r="AJ27" s="154">
        <f t="shared" si="43"/>
        <v>3.3600049738714598E-3</v>
      </c>
      <c r="AK27" s="154">
        <f t="shared" si="44"/>
        <v>6.6446741230537553E-3</v>
      </c>
      <c r="AL27" s="154">
        <f t="shared" si="45"/>
        <v>9.5825797440373905E-5</v>
      </c>
      <c r="AM27" s="154">
        <f t="shared" si="46"/>
        <v>6.4603313109701959E-4</v>
      </c>
      <c r="AN27" s="154">
        <f t="shared" si="47"/>
        <v>2.0496807727571371E-6</v>
      </c>
      <c r="AO27" s="154">
        <f t="shared" si="48"/>
        <v>5.0248821687370804E-5</v>
      </c>
      <c r="AP27" s="154">
        <f t="shared" si="49"/>
        <v>3.5073572106295663E-8</v>
      </c>
      <c r="AQ27" s="76"/>
      <c r="AR27" s="62">
        <f t="shared" si="50"/>
        <v>813</v>
      </c>
      <c r="AS27" s="63">
        <v>270</v>
      </c>
      <c r="AT27" s="64">
        <f t="shared" si="14"/>
        <v>0.22911012</v>
      </c>
      <c r="AU27" s="65">
        <f t="shared" si="15"/>
        <v>0.12775482000000002</v>
      </c>
      <c r="AV27" s="65">
        <f t="shared" si="51"/>
        <v>0.12775482000000002</v>
      </c>
      <c r="AW27" s="65">
        <f t="shared" si="52"/>
        <v>2.8106060400000007E-2</v>
      </c>
      <c r="AX27" s="65">
        <f t="shared" si="16"/>
        <v>0.88006912804371928</v>
      </c>
      <c r="AY27" s="65">
        <f t="shared" si="53"/>
        <v>0.1199308665433952</v>
      </c>
      <c r="AZ27" s="65">
        <f t="shared" si="53"/>
        <v>2.7714759628311159E-2</v>
      </c>
      <c r="BA27" s="65">
        <f t="shared" si="17"/>
        <v>0.11243307304078233</v>
      </c>
      <c r="BB27" s="65">
        <f t="shared" si="18"/>
        <v>2.7327107691896429E-2</v>
      </c>
      <c r="BC27" s="65">
        <f t="shared" si="19"/>
        <v>7.1819335041860008E-3</v>
      </c>
      <c r="BD27" s="65">
        <f t="shared" si="20"/>
        <v>3.8402866967287289E-4</v>
      </c>
      <c r="BE27" s="65">
        <f t="shared" si="21"/>
        <v>3.0584220735975064E-4</v>
      </c>
      <c r="BF27" s="65">
        <f t="shared" si="22"/>
        <v>3.5978443283858053E-6</v>
      </c>
      <c r="BG27" s="65">
        <f t="shared" si="23"/>
        <v>9.7682040374119071E-6</v>
      </c>
      <c r="BH27" s="65">
        <f t="shared" si="24"/>
        <v>2.5280307500852227E-8</v>
      </c>
      <c r="BI27" s="65">
        <f t="shared" si="25"/>
        <v>2.4958702970456632E-7</v>
      </c>
      <c r="BJ27" s="65">
        <f t="shared" si="26"/>
        <v>1.4210596990990519E-10</v>
      </c>
    </row>
    <row r="28" spans="1:62" x14ac:dyDescent="0.3">
      <c r="A28" s="69"/>
      <c r="B28" s="62">
        <f t="shared" si="0"/>
        <v>6917</v>
      </c>
      <c r="C28" s="63">
        <v>300</v>
      </c>
      <c r="D28" s="64">
        <f t="shared" si="27"/>
        <v>0.28285199999999999</v>
      </c>
      <c r="E28" s="65">
        <f t="shared" si="1"/>
        <v>0.55995629192902119</v>
      </c>
      <c r="F28" s="65">
        <f t="shared" si="28"/>
        <v>0.55995629192902119</v>
      </c>
      <c r="G28" s="65">
        <f t="shared" si="29"/>
        <v>0.12319038422438466</v>
      </c>
      <c r="H28" s="65">
        <f t="shared" si="2"/>
        <v>0.57123403084074686</v>
      </c>
      <c r="I28" s="65">
        <f t="shared" si="30"/>
        <v>0.42876596915925314</v>
      </c>
      <c r="J28" s="65"/>
      <c r="K28" s="66">
        <f t="shared" si="31"/>
        <v>0.11590466689777823</v>
      </c>
      <c r="L28" s="65">
        <f t="shared" si="3"/>
        <v>0.31986608973325276</v>
      </c>
      <c r="M28" s="65">
        <f t="shared" si="4"/>
        <v>0.10891204323770463</v>
      </c>
      <c r="N28" s="65">
        <f t="shared" si="5"/>
        <v>8.9555514760433871E-2</v>
      </c>
      <c r="O28" s="65">
        <f t="shared" si="6"/>
        <v>6.7084582265578147E-3</v>
      </c>
      <c r="P28" s="65">
        <f t="shared" si="7"/>
        <v>1.6715724655682426E-2</v>
      </c>
      <c r="Q28" s="65">
        <f t="shared" si="8"/>
        <v>2.7547251549429712E-4</v>
      </c>
      <c r="R28" s="65">
        <f t="shared" si="9"/>
        <v>2.3400187987756113E-3</v>
      </c>
      <c r="S28" s="65">
        <f t="shared" si="10"/>
        <v>8.4838912567500543E-6</v>
      </c>
      <c r="T28" s="65">
        <f t="shared" si="11"/>
        <v>2.6206164992131876E-4</v>
      </c>
      <c r="U28" s="67">
        <f t="shared" si="12"/>
        <v>2.090267647273874E-7</v>
      </c>
      <c r="V28" s="76"/>
      <c r="W28" s="62">
        <f t="shared" si="32"/>
        <v>1978</v>
      </c>
      <c r="X28" s="63">
        <v>300</v>
      </c>
      <c r="Y28" s="64">
        <f t="shared" si="13"/>
        <v>0.28285199999999999</v>
      </c>
      <c r="Z28" s="65">
        <f t="shared" si="33"/>
        <v>0.66684297497020262</v>
      </c>
      <c r="AA28" s="65">
        <f t="shared" si="34"/>
        <v>0.48012694197854588</v>
      </c>
      <c r="AB28" s="65">
        <f t="shared" si="35"/>
        <v>0.1056279272352801</v>
      </c>
      <c r="AC28" s="65">
        <f t="shared" si="36"/>
        <v>0.61870484720350272</v>
      </c>
      <c r="AD28" s="65">
        <f t="shared" si="37"/>
        <v>0.38129515279649728</v>
      </c>
      <c r="AE28" s="65">
        <f t="shared" si="38"/>
        <v>0.89975936175645177</v>
      </c>
      <c r="AF28" s="65">
        <f t="shared" si="39"/>
        <v>0.10024063824354823</v>
      </c>
      <c r="AG28" s="154">
        <f t="shared" si="40"/>
        <v>0.29705686627512123</v>
      </c>
      <c r="AH28" s="154">
        <f t="shared" si="41"/>
        <v>9.503971639287255E-2</v>
      </c>
      <c r="AI28" s="154">
        <f t="shared" si="42"/>
        <v>7.1312502399201907E-2</v>
      </c>
      <c r="AJ28" s="154">
        <f t="shared" si="43"/>
        <v>5.0194241238039998E-3</v>
      </c>
      <c r="AK28" s="154">
        <f t="shared" si="44"/>
        <v>1.1413017900588842E-2</v>
      </c>
      <c r="AL28" s="154">
        <f t="shared" si="45"/>
        <v>1.7673045537072612E-4</v>
      </c>
      <c r="AM28" s="154">
        <f t="shared" si="46"/>
        <v>1.369924345839031E-3</v>
      </c>
      <c r="AN28" s="154">
        <f t="shared" si="47"/>
        <v>4.6669179200392447E-6</v>
      </c>
      <c r="AO28" s="154">
        <f t="shared" si="48"/>
        <v>1.3154751738193079E-4</v>
      </c>
      <c r="AP28" s="154">
        <f t="shared" si="49"/>
        <v>9.8591373294186006E-8</v>
      </c>
      <c r="AQ28" s="76"/>
      <c r="AR28" s="62">
        <f t="shared" si="50"/>
        <v>813</v>
      </c>
      <c r="AS28" s="63">
        <v>300</v>
      </c>
      <c r="AT28" s="64">
        <f t="shared" si="14"/>
        <v>0.28285199999999999</v>
      </c>
      <c r="AU28" s="65">
        <f t="shared" si="15"/>
        <v>0.157722</v>
      </c>
      <c r="AV28" s="65">
        <f t="shared" si="51"/>
        <v>0.157722</v>
      </c>
      <c r="AW28" s="65">
        <f t="shared" si="52"/>
        <v>3.4698839999999995E-2</v>
      </c>
      <c r="AX28" s="65">
        <f t="shared" si="16"/>
        <v>0.85408718520538995</v>
      </c>
      <c r="AY28" s="65">
        <f t="shared" si="53"/>
        <v>0.14591279611395347</v>
      </c>
      <c r="AZ28" s="65">
        <f t="shared" si="53"/>
        <v>3.4103738219600041E-2</v>
      </c>
      <c r="BA28" s="65">
        <f t="shared" si="17"/>
        <v>0.13470833902496451</v>
      </c>
      <c r="BB28" s="65">
        <f t="shared" si="18"/>
        <v>3.3515479844034558E-2</v>
      </c>
      <c r="BC28" s="65">
        <f t="shared" si="19"/>
        <v>1.0623234323847727E-2</v>
      </c>
      <c r="BD28" s="65">
        <f t="shared" si="20"/>
        <v>5.8147413631568997E-4</v>
      </c>
      <c r="BE28" s="65">
        <f t="shared" si="21"/>
        <v>5.5850592134197043E-4</v>
      </c>
      <c r="BF28" s="65">
        <f t="shared" si="22"/>
        <v>6.7254926733854366E-6</v>
      </c>
      <c r="BG28" s="65">
        <f t="shared" si="23"/>
        <v>2.202216773147456E-5</v>
      </c>
      <c r="BH28" s="65">
        <f t="shared" si="24"/>
        <v>5.8341698548743383E-8</v>
      </c>
      <c r="BI28" s="65">
        <f t="shared" si="25"/>
        <v>6.9467606778872616E-7</v>
      </c>
      <c r="BJ28" s="65">
        <f t="shared" si="26"/>
        <v>4.0487785265421573E-10</v>
      </c>
    </row>
    <row r="29" spans="1:62" x14ac:dyDescent="0.3">
      <c r="A29" s="70"/>
      <c r="B29" s="62">
        <f t="shared" si="0"/>
        <v>6917</v>
      </c>
      <c r="C29" s="63">
        <v>330</v>
      </c>
      <c r="D29" s="64">
        <f t="shared" si="27"/>
        <v>0.34225091999999996</v>
      </c>
      <c r="E29" s="65">
        <f t="shared" si="1"/>
        <v>0.67754711323411554</v>
      </c>
      <c r="F29" s="65">
        <f t="shared" si="28"/>
        <v>0.67754711323411554</v>
      </c>
      <c r="G29" s="65">
        <f t="shared" si="29"/>
        <v>0.14906036491150543</v>
      </c>
      <c r="H29" s="65">
        <f t="shared" si="2"/>
        <v>0.50786119179786982</v>
      </c>
      <c r="I29" s="65">
        <f t="shared" si="30"/>
        <v>0.49213880820213018</v>
      </c>
      <c r="J29" s="65"/>
      <c r="K29" s="66">
        <f t="shared" si="31"/>
        <v>0.13848287866476125</v>
      </c>
      <c r="L29" s="65">
        <f t="shared" si="3"/>
        <v>0.3440998844262842</v>
      </c>
      <c r="M29" s="65">
        <f t="shared" si="4"/>
        <v>0.12841805448484936</v>
      </c>
      <c r="N29" s="65">
        <f t="shared" si="5"/>
        <v>0.1165719416786108</v>
      </c>
      <c r="O29" s="65">
        <f t="shared" si="6"/>
        <v>9.571021031368615E-3</v>
      </c>
      <c r="P29" s="65">
        <f t="shared" si="7"/>
        <v>2.6327660856146146E-2</v>
      </c>
      <c r="Q29" s="65">
        <f t="shared" si="8"/>
        <v>4.7555329583716627E-4</v>
      </c>
      <c r="R29" s="65">
        <f t="shared" si="9"/>
        <v>4.4595576528221603E-3</v>
      </c>
      <c r="S29" s="65">
        <f t="shared" si="10"/>
        <v>1.7721536953089277E-5</v>
      </c>
      <c r="T29" s="65">
        <f t="shared" si="11"/>
        <v>6.0431208279415258E-4</v>
      </c>
      <c r="U29" s="67">
        <f t="shared" si="12"/>
        <v>5.2831575300404306E-7</v>
      </c>
      <c r="V29" s="76"/>
      <c r="W29" s="62">
        <f t="shared" si="32"/>
        <v>1978</v>
      </c>
      <c r="X29" s="63">
        <v>330</v>
      </c>
      <c r="Y29" s="64">
        <f t="shared" si="13"/>
        <v>0.34225091999999996</v>
      </c>
      <c r="Z29" s="65">
        <f t="shared" si="33"/>
        <v>0.80687999971394508</v>
      </c>
      <c r="AA29" s="65">
        <f t="shared" si="34"/>
        <v>0.58095359979404049</v>
      </c>
      <c r="AB29" s="65">
        <f t="shared" si="35"/>
        <v>0.12780979195468889</v>
      </c>
      <c r="AC29" s="65">
        <f t="shared" si="36"/>
        <v>0.55936470208996936</v>
      </c>
      <c r="AD29" s="65">
        <f t="shared" si="37"/>
        <v>0.44063529791003064</v>
      </c>
      <c r="AE29" s="65">
        <f t="shared" si="38"/>
        <v>0.88002075025321236</v>
      </c>
      <c r="AF29" s="65">
        <f t="shared" si="39"/>
        <v>0.11997924974678764</v>
      </c>
      <c r="AG29" s="154">
        <f t="shared" si="40"/>
        <v>0.32496493727688874</v>
      </c>
      <c r="AH29" s="154">
        <f t="shared" si="41"/>
        <v>0.1124752690056723</v>
      </c>
      <c r="AI29" s="154">
        <f t="shared" si="42"/>
        <v>9.4394775058926558E-2</v>
      </c>
      <c r="AJ29" s="154">
        <f t="shared" si="43"/>
        <v>7.1877203658313217E-3</v>
      </c>
      <c r="AK29" s="154">
        <f t="shared" si="44"/>
        <v>1.8279661457410695E-2</v>
      </c>
      <c r="AL29" s="154">
        <f t="shared" si="45"/>
        <v>3.062203481951272E-4</v>
      </c>
      <c r="AM29" s="154">
        <f t="shared" si="46"/>
        <v>2.6549087816747801E-3</v>
      </c>
      <c r="AN29" s="154">
        <f t="shared" si="47"/>
        <v>9.7844897487779004E-6</v>
      </c>
      <c r="AO29" s="154">
        <f t="shared" si="48"/>
        <v>3.0847576276775483E-4</v>
      </c>
      <c r="AP29" s="154">
        <f t="shared" si="49"/>
        <v>2.5011071983481791E-7</v>
      </c>
      <c r="AQ29" s="76"/>
      <c r="AR29" s="62">
        <f t="shared" si="50"/>
        <v>813</v>
      </c>
      <c r="AS29" s="63">
        <v>330</v>
      </c>
      <c r="AT29" s="64">
        <f t="shared" si="14"/>
        <v>0.34225091999999996</v>
      </c>
      <c r="AU29" s="65">
        <f t="shared" si="15"/>
        <v>0.19084361999999996</v>
      </c>
      <c r="AV29" s="65">
        <f t="shared" si="51"/>
        <v>0.19084361999999996</v>
      </c>
      <c r="AW29" s="65">
        <f t="shared" si="52"/>
        <v>4.1985596399999991E-2</v>
      </c>
      <c r="AX29" s="65">
        <f t="shared" si="16"/>
        <v>0.82626178886726964</v>
      </c>
      <c r="AY29" s="65">
        <f t="shared" si="53"/>
        <v>0.17373815414076088</v>
      </c>
      <c r="AZ29" s="65">
        <f t="shared" si="53"/>
        <v>4.1116408143939021E-2</v>
      </c>
      <c r="BA29" s="65">
        <f t="shared" si="17"/>
        <v>0.1576867908551054</v>
      </c>
      <c r="BB29" s="65">
        <f t="shared" si="18"/>
        <v>4.0259299481942755E-2</v>
      </c>
      <c r="BC29" s="65">
        <f t="shared" si="19"/>
        <v>1.5046758996485604E-2</v>
      </c>
      <c r="BD29" s="65">
        <f t="shared" si="20"/>
        <v>8.4515534969778862E-4</v>
      </c>
      <c r="BE29" s="65">
        <f t="shared" si="21"/>
        <v>9.5719265205229317E-4</v>
      </c>
      <c r="BF29" s="65">
        <f t="shared" si="22"/>
        <v>1.1828117135904069E-5</v>
      </c>
      <c r="BG29" s="65">
        <f t="shared" si="23"/>
        <v>4.5668527688765009E-5</v>
      </c>
      <c r="BH29" s="65">
        <f t="shared" si="24"/>
        <v>1.2415263805999801E-7</v>
      </c>
      <c r="BI29" s="65">
        <f t="shared" si="25"/>
        <v>1.7431094288388294E-6</v>
      </c>
      <c r="BJ29" s="65">
        <f t="shared" si="26"/>
        <v>1.0425245107164708E-9</v>
      </c>
    </row>
    <row r="30" spans="1:62" x14ac:dyDescent="0.3">
      <c r="A30" s="69"/>
      <c r="B30" s="62">
        <f t="shared" si="0"/>
        <v>6917</v>
      </c>
      <c r="C30" s="63">
        <v>360</v>
      </c>
      <c r="D30" s="64">
        <f t="shared" si="27"/>
        <v>0.40730687999999998</v>
      </c>
      <c r="E30" s="65">
        <f t="shared" si="1"/>
        <v>0.8063370603777904</v>
      </c>
      <c r="F30" s="65">
        <f t="shared" si="28"/>
        <v>0.8063370603777904</v>
      </c>
      <c r="G30" s="65">
        <f t="shared" si="29"/>
        <v>0.17739415328311392</v>
      </c>
      <c r="H30" s="65">
        <f t="shared" si="2"/>
        <v>0.44649054246566328</v>
      </c>
      <c r="I30" s="65">
        <f t="shared" si="30"/>
        <v>0.55350945753433667</v>
      </c>
      <c r="J30" s="65"/>
      <c r="K30" s="66">
        <f t="shared" si="31"/>
        <v>0.1625503268752653</v>
      </c>
      <c r="L30" s="65">
        <f t="shared" si="3"/>
        <v>0.36002187149824794</v>
      </c>
      <c r="M30" s="65">
        <f t="shared" si="4"/>
        <v>0.14855866908469456</v>
      </c>
      <c r="N30" s="65">
        <f t="shared" si="5"/>
        <v>0.14514948876780392</v>
      </c>
      <c r="O30" s="65">
        <f t="shared" si="6"/>
        <v>1.3176719657572852E-2</v>
      </c>
      <c r="P30" s="65">
        <f t="shared" si="7"/>
        <v>3.9013137362790037E-2</v>
      </c>
      <c r="Q30" s="65">
        <f t="shared" si="8"/>
        <v>7.7915767556803299E-4</v>
      </c>
      <c r="R30" s="65">
        <f t="shared" si="9"/>
        <v>7.864434624306766E-3</v>
      </c>
      <c r="S30" s="65">
        <f t="shared" si="10"/>
        <v>3.4554504032857601E-5</v>
      </c>
      <c r="T30" s="65">
        <f t="shared" si="11"/>
        <v>1.2682770192993661E-3</v>
      </c>
      <c r="U30" s="67">
        <f t="shared" si="12"/>
        <v>1.225953397005344E-6</v>
      </c>
      <c r="V30" s="76"/>
      <c r="W30" s="62">
        <f t="shared" si="32"/>
        <v>1978</v>
      </c>
      <c r="X30" s="63">
        <v>360</v>
      </c>
      <c r="Y30" s="64">
        <f t="shared" si="13"/>
        <v>0.40730687999999998</v>
      </c>
      <c r="Z30" s="65">
        <f t="shared" si="33"/>
        <v>0.96025388395709177</v>
      </c>
      <c r="AA30" s="65">
        <f t="shared" si="34"/>
        <v>0.69138279644910605</v>
      </c>
      <c r="AB30" s="65">
        <f t="shared" si="35"/>
        <v>0.15210421521880332</v>
      </c>
      <c r="AC30" s="65">
        <f t="shared" si="36"/>
        <v>0.5008829707761624</v>
      </c>
      <c r="AD30" s="65">
        <f t="shared" si="37"/>
        <v>0.4991170292238376</v>
      </c>
      <c r="AE30" s="65">
        <f t="shared" si="38"/>
        <v>0.8588987657539896</v>
      </c>
      <c r="AF30" s="65">
        <f t="shared" si="39"/>
        <v>0.1411012342460104</v>
      </c>
      <c r="AG30" s="154">
        <f t="shared" si="40"/>
        <v>0.34630186902895904</v>
      </c>
      <c r="AH30" s="154">
        <f t="shared" si="41"/>
        <v>0.13064212271740938</v>
      </c>
      <c r="AI30" s="154">
        <f t="shared" si="42"/>
        <v>0.11971357731239687</v>
      </c>
      <c r="AJ30" s="154">
        <f t="shared" si="43"/>
        <v>9.9356087752250754E-3</v>
      </c>
      <c r="AK30" s="154">
        <f t="shared" si="44"/>
        <v>2.7589302618390401E-2</v>
      </c>
      <c r="AL30" s="154">
        <f t="shared" si="45"/>
        <v>5.0374932515888859E-4</v>
      </c>
      <c r="AM30" s="154">
        <f t="shared" si="46"/>
        <v>4.7686922990958502E-3</v>
      </c>
      <c r="AN30" s="154">
        <f t="shared" si="47"/>
        <v>1.915559894257363E-5</v>
      </c>
      <c r="AO30" s="154">
        <f t="shared" si="48"/>
        <v>6.5939836343084114E-4</v>
      </c>
      <c r="AP30" s="154">
        <f t="shared" si="49"/>
        <v>5.8272946884126021E-7</v>
      </c>
      <c r="AQ30" s="76"/>
      <c r="AR30" s="62">
        <f t="shared" si="50"/>
        <v>813</v>
      </c>
      <c r="AS30" s="63">
        <v>360</v>
      </c>
      <c r="AT30" s="64">
        <f t="shared" si="14"/>
        <v>0.40730687999999998</v>
      </c>
      <c r="AU30" s="65">
        <f t="shared" si="15"/>
        <v>0.22711967999999999</v>
      </c>
      <c r="AV30" s="65">
        <f t="shared" si="51"/>
        <v>0.22711967999999999</v>
      </c>
      <c r="AW30" s="65">
        <f t="shared" si="52"/>
        <v>4.9966329599999998E-2</v>
      </c>
      <c r="AX30" s="65">
        <f t="shared" si="16"/>
        <v>0.79682541251795613</v>
      </c>
      <c r="AY30" s="65">
        <f t="shared" si="53"/>
        <v>0.20317443050946773</v>
      </c>
      <c r="AZ30" s="65">
        <f t="shared" si="53"/>
        <v>4.8738546664154704E-2</v>
      </c>
      <c r="BA30" s="65">
        <f t="shared" si="17"/>
        <v>0.1809747327069462</v>
      </c>
      <c r="BB30" s="65">
        <f t="shared" si="18"/>
        <v>4.7531043312119159E-2</v>
      </c>
      <c r="BC30" s="65">
        <f t="shared" si="19"/>
        <v>2.0551461690243574E-2</v>
      </c>
      <c r="BD30" s="65">
        <f t="shared" si="20"/>
        <v>1.1874758881826107E-3</v>
      </c>
      <c r="BE30" s="65">
        <f t="shared" si="21"/>
        <v>1.5558804675401266E-3</v>
      </c>
      <c r="BF30" s="65">
        <f t="shared" si="22"/>
        <v>1.9777937206995022E-5</v>
      </c>
      <c r="BG30" s="65">
        <f t="shared" si="23"/>
        <v>8.8342768476490981E-5</v>
      </c>
      <c r="BH30" s="65">
        <f t="shared" si="24"/>
        <v>2.4705773232320418E-7</v>
      </c>
      <c r="BI30" s="65">
        <f t="shared" si="25"/>
        <v>4.0128762613389431E-6</v>
      </c>
      <c r="BJ30" s="65">
        <f t="shared" si="26"/>
        <v>2.4689136166979586E-9</v>
      </c>
    </row>
    <row r="31" spans="1:62" x14ac:dyDescent="0.3">
      <c r="A31" s="69"/>
      <c r="B31" s="62">
        <f t="shared" si="0"/>
        <v>6917</v>
      </c>
      <c r="C31" s="63">
        <v>390</v>
      </c>
      <c r="D31" s="64">
        <f t="shared" si="27"/>
        <v>0.47801987999999995</v>
      </c>
      <c r="E31" s="65">
        <f t="shared" si="1"/>
        <v>0.94632613336004567</v>
      </c>
      <c r="F31" s="65">
        <f t="shared" si="28"/>
        <v>0.94632613336004567</v>
      </c>
      <c r="G31" s="65">
        <f t="shared" si="29"/>
        <v>0.20819174933921003</v>
      </c>
      <c r="H31" s="65">
        <f t="shared" si="2"/>
        <v>0.3881644715771001</v>
      </c>
      <c r="I31" s="65">
        <f t="shared" si="30"/>
        <v>0.6118355284228999</v>
      </c>
      <c r="J31" s="65"/>
      <c r="K31" s="66">
        <f t="shared" si="31"/>
        <v>0.18794859387579035</v>
      </c>
      <c r="L31" s="65">
        <f t="shared" si="3"/>
        <v>0.3673301834953025</v>
      </c>
      <c r="M31" s="65">
        <f t="shared" si="4"/>
        <v>0.16906238309020635</v>
      </c>
      <c r="N31" s="65">
        <f t="shared" si="5"/>
        <v>0.17380707610677282</v>
      </c>
      <c r="O31" s="65">
        <f t="shared" si="6"/>
        <v>1.7598696641502872E-2</v>
      </c>
      <c r="P31" s="65">
        <f t="shared" si="7"/>
        <v>5.4826059427579177E-2</v>
      </c>
      <c r="Q31" s="65">
        <f t="shared" si="8"/>
        <v>1.2213011466281878E-3</v>
      </c>
      <c r="R31" s="65">
        <f t="shared" si="9"/>
        <v>1.2970833206367266E-2</v>
      </c>
      <c r="S31" s="65">
        <f t="shared" si="10"/>
        <v>6.3566205546626372E-5</v>
      </c>
      <c r="T31" s="65">
        <f t="shared" si="11"/>
        <v>2.4549276869279242E-3</v>
      </c>
      <c r="U31" s="67">
        <f t="shared" si="12"/>
        <v>2.6467919063215874E-6</v>
      </c>
      <c r="V31" s="76"/>
      <c r="W31" s="62">
        <f t="shared" si="32"/>
        <v>1978</v>
      </c>
      <c r="X31" s="63">
        <v>390</v>
      </c>
      <c r="Y31" s="64">
        <f t="shared" si="13"/>
        <v>0.47801987999999995</v>
      </c>
      <c r="Z31" s="65">
        <f t="shared" si="33"/>
        <v>1.1269646276996423</v>
      </c>
      <c r="AA31" s="65">
        <f t="shared" si="34"/>
        <v>0.81141453194374247</v>
      </c>
      <c r="AB31" s="65">
        <f t="shared" si="35"/>
        <v>0.17851119702762336</v>
      </c>
      <c r="AC31" s="65">
        <f t="shared" si="36"/>
        <v>0.44422924512645195</v>
      </c>
      <c r="AD31" s="65">
        <f t="shared" si="37"/>
        <v>0.55577075487354799</v>
      </c>
      <c r="AE31" s="65">
        <f t="shared" si="38"/>
        <v>0.83651469034685877</v>
      </c>
      <c r="AF31" s="65">
        <f t="shared" si="39"/>
        <v>0.16348530965314123</v>
      </c>
      <c r="AG31" s="154">
        <f t="shared" si="40"/>
        <v>0.36045406501000204</v>
      </c>
      <c r="AH31" s="154">
        <f t="shared" si="41"/>
        <v>0.14932723870500944</v>
      </c>
      <c r="AI31" s="154">
        <f t="shared" si="42"/>
        <v>0.14623883322365508</v>
      </c>
      <c r="AJ31" s="154">
        <f t="shared" si="43"/>
        <v>1.3328292065030441E-2</v>
      </c>
      <c r="AK31" s="154">
        <f t="shared" si="44"/>
        <v>3.9553438137390366E-2</v>
      </c>
      <c r="AL31" s="154">
        <f t="shared" si="45"/>
        <v>7.9308312362078601E-4</v>
      </c>
      <c r="AM31" s="154">
        <f t="shared" si="46"/>
        <v>8.0235586232540942E-3</v>
      </c>
      <c r="AN31" s="154">
        <f t="shared" si="47"/>
        <v>3.5393554434988275E-5</v>
      </c>
      <c r="AO31" s="154">
        <f t="shared" si="48"/>
        <v>1.3020864129621799E-3</v>
      </c>
      <c r="AP31" s="154">
        <f t="shared" si="49"/>
        <v>1.2636291538504211E-6</v>
      </c>
      <c r="AQ31" s="76"/>
      <c r="AR31" s="62">
        <f t="shared" si="50"/>
        <v>813</v>
      </c>
      <c r="AS31" s="63">
        <v>390</v>
      </c>
      <c r="AT31" s="64">
        <f t="shared" si="14"/>
        <v>0.47801987999999995</v>
      </c>
      <c r="AU31" s="65">
        <f t="shared" si="15"/>
        <v>0.26655017999999997</v>
      </c>
      <c r="AV31" s="65">
        <f t="shared" si="51"/>
        <v>0.26655017999999997</v>
      </c>
      <c r="AW31" s="65">
        <f t="shared" si="52"/>
        <v>5.86410396E-2</v>
      </c>
      <c r="AX31" s="65">
        <f t="shared" si="16"/>
        <v>0.7660175640003879</v>
      </c>
      <c r="AY31" s="65">
        <f t="shared" si="53"/>
        <v>0.23398203939574347</v>
      </c>
      <c r="AZ31" s="65">
        <f t="shared" si="53"/>
        <v>5.6954775647888124E-2</v>
      </c>
      <c r="BA31" s="65">
        <f t="shared" si="17"/>
        <v>0.2041821195674649</v>
      </c>
      <c r="BB31" s="65">
        <f t="shared" si="18"/>
        <v>5.5301152342673431E-2</v>
      </c>
      <c r="BC31" s="65">
        <f t="shared" si="19"/>
        <v>2.7212390361744641E-2</v>
      </c>
      <c r="BD31" s="65">
        <f t="shared" si="20"/>
        <v>1.6214585322261727E-3</v>
      </c>
      <c r="BE31" s="65">
        <f t="shared" si="21"/>
        <v>2.4178225163844326E-3</v>
      </c>
      <c r="BF31" s="65">
        <f t="shared" si="22"/>
        <v>3.1694671332677625E-5</v>
      </c>
      <c r="BG31" s="65">
        <f t="shared" si="23"/>
        <v>1.6111775673758084E-4</v>
      </c>
      <c r="BH31" s="65">
        <f t="shared" si="24"/>
        <v>4.6465211918213334E-7</v>
      </c>
      <c r="BI31" s="65">
        <f t="shared" si="25"/>
        <v>8.5891934119196777E-6</v>
      </c>
      <c r="BJ31" s="65">
        <f t="shared" si="26"/>
        <v>5.4495366642366803E-9</v>
      </c>
    </row>
    <row r="32" spans="1:62" x14ac:dyDescent="0.3">
      <c r="A32" s="69"/>
      <c r="B32" s="62">
        <f t="shared" si="0"/>
        <v>6917</v>
      </c>
      <c r="C32" s="63">
        <v>420</v>
      </c>
      <c r="D32" s="64">
        <f t="shared" si="27"/>
        <v>0.55438991999999998</v>
      </c>
      <c r="E32" s="65">
        <f t="shared" si="1"/>
        <v>1.0975143321808816</v>
      </c>
      <c r="F32" s="65">
        <f t="shared" si="28"/>
        <v>1.0975143321808816</v>
      </c>
      <c r="G32" s="65">
        <f t="shared" si="29"/>
        <v>0.24145315307979387</v>
      </c>
      <c r="H32" s="65">
        <f t="shared" si="2"/>
        <v>0.33369951982070395</v>
      </c>
      <c r="I32" s="65">
        <f t="shared" si="30"/>
        <v>0.666300480179296</v>
      </c>
      <c r="J32" s="65"/>
      <c r="K32" s="66">
        <f t="shared" si="31"/>
        <v>0.21451417563011105</v>
      </c>
      <c r="L32" s="65">
        <f t="shared" si="3"/>
        <v>0.36624000564510073</v>
      </c>
      <c r="M32" s="65">
        <f t="shared" si="4"/>
        <v>0.18965797494150965</v>
      </c>
      <c r="N32" s="65">
        <f t="shared" si="5"/>
        <v>0.20097682760675253</v>
      </c>
      <c r="O32" s="65">
        <f t="shared" si="6"/>
        <v>2.2896758028178019E-2</v>
      </c>
      <c r="P32" s="65">
        <f t="shared" si="7"/>
        <v>7.3524982911552392E-2</v>
      </c>
      <c r="Q32" s="65">
        <f t="shared" si="8"/>
        <v>1.842831473736222E-3</v>
      </c>
      <c r="R32" s="65">
        <f t="shared" si="9"/>
        <v>2.0173680629695788E-2</v>
      </c>
      <c r="S32" s="65">
        <f t="shared" si="10"/>
        <v>1.1123936748207354E-4</v>
      </c>
      <c r="T32" s="65">
        <f t="shared" si="11"/>
        <v>4.4281807247861914E-3</v>
      </c>
      <c r="U32" s="67">
        <f t="shared" si="12"/>
        <v>5.3718192050297098E-6</v>
      </c>
      <c r="V32" s="76"/>
      <c r="W32" s="62">
        <f t="shared" si="32"/>
        <v>1978</v>
      </c>
      <c r="X32" s="63">
        <v>420</v>
      </c>
      <c r="Y32" s="64">
        <f t="shared" si="13"/>
        <v>0.55438991999999998</v>
      </c>
      <c r="Z32" s="65">
        <f t="shared" si="33"/>
        <v>1.307012230941597</v>
      </c>
      <c r="AA32" s="65">
        <f t="shared" si="34"/>
        <v>0.94104880627794985</v>
      </c>
      <c r="AB32" s="65">
        <f t="shared" si="35"/>
        <v>0.20703073738114897</v>
      </c>
      <c r="AC32" s="65">
        <f t="shared" si="36"/>
        <v>0.39021835720162124</v>
      </c>
      <c r="AD32" s="65">
        <f t="shared" si="37"/>
        <v>0.60978164279837876</v>
      </c>
      <c r="AE32" s="65">
        <f t="shared" si="38"/>
        <v>0.81299466027676881</v>
      </c>
      <c r="AF32" s="65">
        <f t="shared" si="39"/>
        <v>0.18700533972323119</v>
      </c>
      <c r="AG32" s="154">
        <f t="shared" si="40"/>
        <v>0.36721451923232828</v>
      </c>
      <c r="AH32" s="154">
        <f t="shared" si="41"/>
        <v>0.16831488400403616</v>
      </c>
      <c r="AI32" s="154">
        <f t="shared" si="42"/>
        <v>0.17278339248575691</v>
      </c>
      <c r="AJ32" s="154">
        <f t="shared" si="43"/>
        <v>1.742317727378908E-2</v>
      </c>
      <c r="AK32" s="154">
        <f t="shared" si="44"/>
        <v>5.4199201747792004E-2</v>
      </c>
      <c r="AL32" s="154">
        <f t="shared" si="45"/>
        <v>1.2023777461716767E-3</v>
      </c>
      <c r="AM32" s="154">
        <f t="shared" si="46"/>
        <v>1.275102352649436E-2</v>
      </c>
      <c r="AN32" s="154">
        <f t="shared" si="47"/>
        <v>6.2232287850151534E-5</v>
      </c>
      <c r="AO32" s="154">
        <f t="shared" si="48"/>
        <v>2.399867093685914E-3</v>
      </c>
      <c r="AP32" s="154">
        <f t="shared" si="49"/>
        <v>2.5767992885065583E-6</v>
      </c>
      <c r="AQ32" s="76"/>
      <c r="AR32" s="62">
        <f t="shared" si="50"/>
        <v>813</v>
      </c>
      <c r="AS32" s="63">
        <v>420</v>
      </c>
      <c r="AT32" s="64">
        <f t="shared" si="14"/>
        <v>0.55438991999999998</v>
      </c>
      <c r="AU32" s="65">
        <f t="shared" si="15"/>
        <v>0.30913511999999999</v>
      </c>
      <c r="AV32" s="65">
        <f t="shared" si="51"/>
        <v>0.30913511999999999</v>
      </c>
      <c r="AW32" s="65">
        <f t="shared" si="52"/>
        <v>6.8009726399999998E-2</v>
      </c>
      <c r="AX32" s="65">
        <f t="shared" si="16"/>
        <v>0.73408157422243692</v>
      </c>
      <c r="AY32" s="65">
        <f t="shared" si="53"/>
        <v>0.26591749508943352</v>
      </c>
      <c r="AZ32" s="65">
        <f t="shared" si="53"/>
        <v>6.5748613240009024E-2</v>
      </c>
      <c r="BA32" s="65">
        <f t="shared" si="17"/>
        <v>0.22693039553704195</v>
      </c>
      <c r="BB32" s="65">
        <f t="shared" si="18"/>
        <v>6.3538181193549703E-2</v>
      </c>
      <c r="BC32" s="65">
        <f t="shared" si="19"/>
        <v>3.5076077527995457E-2</v>
      </c>
      <c r="BD32" s="65">
        <f t="shared" si="20"/>
        <v>2.1606071594634704E-3</v>
      </c>
      <c r="BE32" s="65">
        <f t="shared" si="21"/>
        <v>3.6144158119153936E-3</v>
      </c>
      <c r="BF32" s="65">
        <f t="shared" si="22"/>
        <v>4.8980767257663926E-5</v>
      </c>
      <c r="BG32" s="65">
        <f t="shared" si="23"/>
        <v>2.7933571643659063E-4</v>
      </c>
      <c r="BH32" s="65">
        <f t="shared" si="24"/>
        <v>8.3279214501395061E-7</v>
      </c>
      <c r="BI32" s="65">
        <f t="shared" si="25"/>
        <v>1.7270496044182285E-5</v>
      </c>
      <c r="BJ32" s="65">
        <f t="shared" si="26"/>
        <v>1.1327593186093578E-8</v>
      </c>
    </row>
    <row r="33" spans="1:62" x14ac:dyDescent="0.3">
      <c r="A33" s="69"/>
      <c r="B33" s="62">
        <f t="shared" si="0"/>
        <v>6917</v>
      </c>
      <c r="C33" s="63">
        <v>450</v>
      </c>
      <c r="D33" s="64">
        <f t="shared" si="27"/>
        <v>0.63641700000000001</v>
      </c>
      <c r="E33" s="65">
        <f t="shared" si="1"/>
        <v>1.2599016568402976</v>
      </c>
      <c r="F33" s="65">
        <f t="shared" si="28"/>
        <v>1.2599016568402976</v>
      </c>
      <c r="G33" s="65">
        <f t="shared" si="29"/>
        <v>0.27717836450486544</v>
      </c>
      <c r="H33" s="65">
        <f t="shared" si="2"/>
        <v>0.28368192330470615</v>
      </c>
      <c r="I33" s="65">
        <f t="shared" si="30"/>
        <v>0.7163180766952939</v>
      </c>
      <c r="J33" s="65"/>
      <c r="K33" s="66">
        <f t="shared" si="31"/>
        <v>0.24208020390881582</v>
      </c>
      <c r="L33" s="65">
        <f t="shared" si="3"/>
        <v>0.3574113251872415</v>
      </c>
      <c r="M33" s="65">
        <f t="shared" si="4"/>
        <v>0.21007883176592648</v>
      </c>
      <c r="N33" s="65">
        <f t="shared" si="5"/>
        <v>0.225151560388446</v>
      </c>
      <c r="O33" s="65">
        <f t="shared" si="6"/>
        <v>2.911465350298614E-2</v>
      </c>
      <c r="P33" s="65">
        <f t="shared" si="7"/>
        <v>9.4556274657860484E-2</v>
      </c>
      <c r="Q33" s="65">
        <f t="shared" si="8"/>
        <v>2.6899840136945167E-3</v>
      </c>
      <c r="R33" s="65">
        <f t="shared" si="9"/>
        <v>2.9782901776521167E-2</v>
      </c>
      <c r="S33" s="65">
        <f t="shared" si="10"/>
        <v>1.864013423650199E-4</v>
      </c>
      <c r="T33" s="65">
        <f t="shared" si="11"/>
        <v>7.5047054587501728E-3</v>
      </c>
      <c r="U33" s="67">
        <f t="shared" si="12"/>
        <v>1.033328384364954E-5</v>
      </c>
      <c r="V33" s="76"/>
      <c r="W33" s="62">
        <f t="shared" si="32"/>
        <v>1978</v>
      </c>
      <c r="X33" s="63">
        <v>450</v>
      </c>
      <c r="Y33" s="64">
        <f t="shared" si="13"/>
        <v>0.63641700000000001</v>
      </c>
      <c r="Z33" s="65">
        <f t="shared" si="33"/>
        <v>1.500396693682956</v>
      </c>
      <c r="AA33" s="65">
        <f t="shared" si="34"/>
        <v>1.0802856194517283</v>
      </c>
      <c r="AB33" s="65">
        <f t="shared" si="35"/>
        <v>0.23766283627938023</v>
      </c>
      <c r="AC33" s="65">
        <f t="shared" si="36"/>
        <v>0.33949854440761829</v>
      </c>
      <c r="AD33" s="65">
        <f t="shared" si="37"/>
        <v>0.66050145559238171</v>
      </c>
      <c r="AE33" s="65">
        <f t="shared" si="38"/>
        <v>0.78846848925193214</v>
      </c>
      <c r="AF33" s="65">
        <f t="shared" si="39"/>
        <v>0.21153151074806786</v>
      </c>
      <c r="AG33" s="154">
        <f t="shared" si="40"/>
        <v>0.366755395348344</v>
      </c>
      <c r="AH33" s="154">
        <f t="shared" si="41"/>
        <v>0.18738965747253222</v>
      </c>
      <c r="AI33" s="154">
        <f t="shared" si="42"/>
        <v>0.19810028972557464</v>
      </c>
      <c r="AJ33" s="154">
        <f t="shared" si="43"/>
        <v>2.2267778742171781E-2</v>
      </c>
      <c r="AK33" s="154">
        <f t="shared" si="44"/>
        <v>7.1334964733253084E-2</v>
      </c>
      <c r="AL33" s="154">
        <f t="shared" si="45"/>
        <v>1.7640744845020785E-3</v>
      </c>
      <c r="AM33" s="154">
        <f t="shared" si="46"/>
        <v>1.9265534141357375E-2</v>
      </c>
      <c r="AN33" s="154">
        <f t="shared" si="47"/>
        <v>1.0481373634871239E-4</v>
      </c>
      <c r="AO33" s="154">
        <f t="shared" si="48"/>
        <v>4.162455896792934E-3</v>
      </c>
      <c r="AP33" s="154">
        <f t="shared" si="49"/>
        <v>4.9820659723348312E-6</v>
      </c>
      <c r="AQ33" s="76"/>
      <c r="AR33" s="62">
        <f t="shared" si="50"/>
        <v>813</v>
      </c>
      <c r="AS33" s="63">
        <v>450</v>
      </c>
      <c r="AT33" s="64">
        <f t="shared" si="14"/>
        <v>0.63641700000000001</v>
      </c>
      <c r="AU33" s="65">
        <f t="shared" si="15"/>
        <v>0.35487449999999998</v>
      </c>
      <c r="AV33" s="65">
        <f t="shared" si="51"/>
        <v>0.35487449999999998</v>
      </c>
      <c r="AW33" s="65">
        <f t="shared" si="52"/>
        <v>7.8072389999999992E-2</v>
      </c>
      <c r="AX33" s="65">
        <f t="shared" si="16"/>
        <v>0.70126144599775464</v>
      </c>
      <c r="AY33" s="65">
        <f t="shared" si="53"/>
        <v>0.2987365054836244</v>
      </c>
      <c r="AZ33" s="65">
        <f t="shared" si="53"/>
        <v>7.5102528913627634E-2</v>
      </c>
      <c r="BA33" s="65">
        <f t="shared" si="17"/>
        <v>0.24885980501773017</v>
      </c>
      <c r="BB33" s="65">
        <f t="shared" si="18"/>
        <v>7.2208956049701803E-2</v>
      </c>
      <c r="BC33" s="65">
        <f t="shared" si="19"/>
        <v>4.415699943788224E-2</v>
      </c>
      <c r="BD33" s="65">
        <f t="shared" si="20"/>
        <v>2.8187628891025891E-3</v>
      </c>
      <c r="BE33" s="65">
        <f t="shared" si="21"/>
        <v>5.2233976990062464E-3</v>
      </c>
      <c r="BF33" s="65">
        <f t="shared" si="22"/>
        <v>7.3355851865181359E-5</v>
      </c>
      <c r="BG33" s="65">
        <f t="shared" si="23"/>
        <v>4.6341266168399797E-4</v>
      </c>
      <c r="BH33" s="65">
        <f t="shared" si="24"/>
        <v>1.4317666689001665E-6</v>
      </c>
      <c r="BI33" s="65">
        <f t="shared" si="25"/>
        <v>3.2890667321755592E-5</v>
      </c>
      <c r="BJ33" s="65">
        <f t="shared" si="26"/>
        <v>2.2356289152674931E-8</v>
      </c>
    </row>
    <row r="34" spans="1:62" x14ac:dyDescent="0.3">
      <c r="A34" s="69"/>
      <c r="B34" s="62">
        <f t="shared" si="0"/>
        <v>6917</v>
      </c>
      <c r="C34" s="63">
        <v>480</v>
      </c>
      <c r="D34" s="64">
        <f t="shared" si="27"/>
        <v>0.72410112000000004</v>
      </c>
      <c r="E34" s="65">
        <f t="shared" si="1"/>
        <v>1.4334881073382943</v>
      </c>
      <c r="F34" s="65">
        <f t="shared" si="28"/>
        <v>1.4334881073382943</v>
      </c>
      <c r="G34" s="65">
        <f t="shared" si="29"/>
        <v>0.31536738361442462</v>
      </c>
      <c r="H34" s="65">
        <f t="shared" si="2"/>
        <v>0.23847564116774478</v>
      </c>
      <c r="I34" s="65">
        <f t="shared" si="30"/>
        <v>0.76152435883225522</v>
      </c>
      <c r="J34" s="65"/>
      <c r="K34" s="66">
        <f t="shared" si="31"/>
        <v>0.27047814542387605</v>
      </c>
      <c r="L34" s="65">
        <f t="shared" si="3"/>
        <v>0.34185199550383671</v>
      </c>
      <c r="M34" s="65">
        <f t="shared" si="4"/>
        <v>0.23006706946954639</v>
      </c>
      <c r="N34" s="65">
        <f t="shared" si="5"/>
        <v>0.245020385012307</v>
      </c>
      <c r="O34" s="65">
        <f t="shared" si="6"/>
        <v>3.6277824877224453E-2</v>
      </c>
      <c r="P34" s="65">
        <f t="shared" si="7"/>
        <v>0.11707793599019739</v>
      </c>
      <c r="Q34" s="65">
        <f t="shared" si="8"/>
        <v>3.8136142382508534E-3</v>
      </c>
      <c r="R34" s="65">
        <f t="shared" si="9"/>
        <v>4.1957457218415511E-2</v>
      </c>
      <c r="S34" s="65">
        <f t="shared" si="10"/>
        <v>3.0067238610797218E-4</v>
      </c>
      <c r="T34" s="65">
        <f t="shared" si="11"/>
        <v>1.2029103187350782E-2</v>
      </c>
      <c r="U34" s="67">
        <f t="shared" si="12"/>
        <v>1.8964452746395451E-5</v>
      </c>
      <c r="V34" s="76"/>
      <c r="W34" s="62">
        <f t="shared" si="32"/>
        <v>1978</v>
      </c>
      <c r="X34" s="63">
        <v>480</v>
      </c>
      <c r="Y34" s="64">
        <f t="shared" si="13"/>
        <v>0.72410112000000004</v>
      </c>
      <c r="Z34" s="65">
        <f t="shared" si="33"/>
        <v>1.7071180159237187</v>
      </c>
      <c r="AA34" s="65">
        <f t="shared" si="34"/>
        <v>1.2291249714650774</v>
      </c>
      <c r="AB34" s="65">
        <f t="shared" si="35"/>
        <v>0.27040749372231704</v>
      </c>
      <c r="AC34" s="65">
        <f t="shared" si="36"/>
        <v>0.29254845396007262</v>
      </c>
      <c r="AD34" s="65">
        <f t="shared" si="37"/>
        <v>0.70745154603992733</v>
      </c>
      <c r="AE34" s="65">
        <f t="shared" si="38"/>
        <v>0.76306848535657246</v>
      </c>
      <c r="AF34" s="65">
        <f t="shared" si="39"/>
        <v>0.23693151464342754</v>
      </c>
      <c r="AG34" s="154">
        <f t="shared" si="40"/>
        <v>0.35957861012582676</v>
      </c>
      <c r="AH34" s="154">
        <f t="shared" si="41"/>
        <v>0.20633943666375534</v>
      </c>
      <c r="AI34" s="154">
        <f t="shared" si="42"/>
        <v>0.22098352445517949</v>
      </c>
      <c r="AJ34" s="154">
        <f t="shared" si="43"/>
        <v>2.7897864962160429E-2</v>
      </c>
      <c r="AK34" s="154">
        <f t="shared" si="44"/>
        <v>9.0538789396741579E-2</v>
      </c>
      <c r="AL34" s="154">
        <f t="shared" si="45"/>
        <v>2.5145972482071483E-3</v>
      </c>
      <c r="AM34" s="154">
        <f t="shared" si="46"/>
        <v>2.7820871733438158E-2</v>
      </c>
      <c r="AN34" s="154">
        <f t="shared" si="47"/>
        <v>1.6999148490218251E-4</v>
      </c>
      <c r="AO34" s="154">
        <f t="shared" si="48"/>
        <v>6.8390656350991504E-3</v>
      </c>
      <c r="AP34" s="154">
        <f t="shared" si="49"/>
        <v>9.1933942773068549E-6</v>
      </c>
      <c r="AQ34" s="76"/>
      <c r="AR34" s="62">
        <f t="shared" si="50"/>
        <v>813</v>
      </c>
      <c r="AS34" s="63">
        <v>480</v>
      </c>
      <c r="AT34" s="64">
        <f t="shared" si="14"/>
        <v>0.72410112000000004</v>
      </c>
      <c r="AU34" s="65">
        <f t="shared" si="15"/>
        <v>0.40376832000000001</v>
      </c>
      <c r="AV34" s="65">
        <f t="shared" si="51"/>
        <v>0.40376832000000001</v>
      </c>
      <c r="AW34" s="65">
        <f t="shared" si="52"/>
        <v>8.8829030400000009E-2</v>
      </c>
      <c r="AX34" s="65">
        <f t="shared" si="16"/>
        <v>0.66779881897843518</v>
      </c>
      <c r="AY34" s="65">
        <f t="shared" si="53"/>
        <v>0.3321969180657372</v>
      </c>
      <c r="AZ34" s="65">
        <f t="shared" si="53"/>
        <v>8.4998001639917178E-2</v>
      </c>
      <c r="BA34" s="65">
        <f t="shared" si="17"/>
        <v>0.26963600723690689</v>
      </c>
      <c r="BB34" s="65">
        <f t="shared" si="18"/>
        <v>8.1278740272217639E-2</v>
      </c>
      <c r="BC34" s="65">
        <f t="shared" si="19"/>
        <v>5.4435238826776873E-2</v>
      </c>
      <c r="BD34" s="65">
        <f t="shared" si="20"/>
        <v>3.6099558452572624E-3</v>
      </c>
      <c r="BE34" s="65">
        <f t="shared" si="21"/>
        <v>7.3264083099621562E-3</v>
      </c>
      <c r="BF34" s="65">
        <f t="shared" si="22"/>
        <v>1.0688962584033836E-4</v>
      </c>
      <c r="BG34" s="65">
        <f t="shared" si="23"/>
        <v>7.3954289373686494E-4</v>
      </c>
      <c r="BH34" s="65">
        <f t="shared" si="24"/>
        <v>2.3737254558040104E-6</v>
      </c>
      <c r="BI34" s="65">
        <f t="shared" si="25"/>
        <v>5.9720798354414489E-5</v>
      </c>
      <c r="BJ34" s="65">
        <f t="shared" si="26"/>
        <v>4.2171146134973662E-8</v>
      </c>
    </row>
    <row r="35" spans="1:62" ht="15" thickBot="1" x14ac:dyDescent="0.35">
      <c r="A35" s="78"/>
      <c r="B35" s="79">
        <f t="shared" si="0"/>
        <v>6917</v>
      </c>
      <c r="C35" s="80">
        <v>510</v>
      </c>
      <c r="D35" s="81">
        <f t="shared" si="27"/>
        <v>0.81744227999999997</v>
      </c>
      <c r="E35" s="82">
        <f t="shared" si="1"/>
        <v>1.6182736836748712</v>
      </c>
      <c r="F35" s="82">
        <f t="shared" si="28"/>
        <v>1.6182736836748712</v>
      </c>
      <c r="G35" s="82">
        <f t="shared" si="29"/>
        <v>0.35602021040847154</v>
      </c>
      <c r="H35" s="82">
        <f t="shared" si="2"/>
        <v>0.19824062989401689</v>
      </c>
      <c r="I35" s="65">
        <f t="shared" si="30"/>
        <v>0.80175937010598308</v>
      </c>
      <c r="J35" s="82"/>
      <c r="K35" s="83">
        <f>SUM(M35,O35,Q35,S35,U35)</f>
        <v>0.29953944997401788</v>
      </c>
      <c r="L35" s="84">
        <f t="shared" si="3"/>
        <v>0.32080759439261752</v>
      </c>
      <c r="M35" s="82">
        <f t="shared" si="4"/>
        <v>0.24937736957209458</v>
      </c>
      <c r="N35" s="82">
        <f t="shared" si="5"/>
        <v>0.25957724376430752</v>
      </c>
      <c r="O35" s="82">
        <f t="shared" si="6"/>
        <v>4.4391691793084144E-2</v>
      </c>
      <c r="P35" s="82">
        <f t="shared" si="7"/>
        <v>0.14002234082154533</v>
      </c>
      <c r="Q35" s="82">
        <f t="shared" si="8"/>
        <v>5.2681131508539453E-3</v>
      </c>
      <c r="R35" s="82">
        <f t="shared" si="9"/>
        <v>5.66486173195151E-2</v>
      </c>
      <c r="S35" s="82">
        <f t="shared" si="10"/>
        <v>4.6888868810566445E-4</v>
      </c>
      <c r="T35" s="82">
        <f t="shared" si="11"/>
        <v>1.8334593324947964E-2</v>
      </c>
      <c r="U35" s="85">
        <f t="shared" si="12"/>
        <v>3.3386769879506163E-5</v>
      </c>
      <c r="V35" s="76"/>
      <c r="W35" s="62">
        <f t="shared" si="32"/>
        <v>1978</v>
      </c>
      <c r="X35" s="63">
        <v>510</v>
      </c>
      <c r="Y35" s="64">
        <f t="shared" si="13"/>
        <v>0.81744227999999997</v>
      </c>
      <c r="Z35" s="65">
        <f t="shared" si="33"/>
        <v>1.9271761976638855</v>
      </c>
      <c r="AA35" s="65">
        <f t="shared" si="34"/>
        <v>1.3875668623179975</v>
      </c>
      <c r="AB35" s="65">
        <f t="shared" si="35"/>
        <v>0.30526470970995945</v>
      </c>
      <c r="AC35" s="65">
        <f t="shared" si="36"/>
        <v>0.24968207702205841</v>
      </c>
      <c r="AD35" s="65">
        <f t="shared" si="37"/>
        <v>0.75031792297794153</v>
      </c>
      <c r="AE35" s="65">
        <f t="shared" si="38"/>
        <v>0.73692827650028059</v>
      </c>
      <c r="AF35" s="65">
        <f t="shared" si="39"/>
        <v>0.26307172349971941</v>
      </c>
      <c r="AG35" s="154">
        <f t="shared" si="40"/>
        <v>0.34645057619053821</v>
      </c>
      <c r="AH35" s="154">
        <f t="shared" si="41"/>
        <v>0.22495819640291889</v>
      </c>
      <c r="AI35" s="154">
        <f t="shared" si="42"/>
        <v>0.24036166947648371</v>
      </c>
      <c r="AJ35" s="154">
        <f t="shared" si="43"/>
        <v>3.4335899260906542E-2</v>
      </c>
      <c r="AK35" s="154">
        <f t="shared" si="44"/>
        <v>0.11117262917900005</v>
      </c>
      <c r="AL35" s="154">
        <f t="shared" si="45"/>
        <v>3.493846106837015E-3</v>
      </c>
      <c r="AM35" s="154">
        <f t="shared" si="46"/>
        <v>3.856486406138683E-2</v>
      </c>
      <c r="AN35" s="154">
        <f t="shared" si="47"/>
        <v>2.6663697939371841E-4</v>
      </c>
      <c r="AO35" s="154">
        <f t="shared" si="48"/>
        <v>1.0702265484275726E-2</v>
      </c>
      <c r="AP35" s="154">
        <f t="shared" si="49"/>
        <v>1.6278972022512775E-5</v>
      </c>
      <c r="AQ35" s="76"/>
      <c r="AR35" s="62">
        <f t="shared" si="50"/>
        <v>813</v>
      </c>
      <c r="AS35" s="73">
        <v>510</v>
      </c>
      <c r="AT35" s="64">
        <f t="shared" si="14"/>
        <v>0.81744227999999997</v>
      </c>
      <c r="AU35" s="65">
        <f t="shared" si="15"/>
        <v>0.45581658000000003</v>
      </c>
      <c r="AV35" s="65">
        <f t="shared" si="51"/>
        <v>0.45581658000000003</v>
      </c>
      <c r="AW35" s="65">
        <f t="shared" si="52"/>
        <v>0.10027964760000002</v>
      </c>
      <c r="AX35" s="65">
        <f t="shared" si="16"/>
        <v>0.63393010189486809</v>
      </c>
      <c r="AY35" s="65">
        <f t="shared" si="53"/>
        <v>0.36606145626932135</v>
      </c>
      <c r="AZ35" s="74">
        <f t="shared" si="53"/>
        <v>9.5415580903151331E-2</v>
      </c>
      <c r="BA35" s="65">
        <f t="shared" si="17"/>
        <v>0.28895585100477034</v>
      </c>
      <c r="BB35" s="65">
        <f t="shared" si="18"/>
        <v>9.0711406641507245E-2</v>
      </c>
      <c r="BC35" s="65">
        <f t="shared" si="19"/>
        <v>6.585543388799199E-2</v>
      </c>
      <c r="BD35" s="65">
        <f t="shared" si="20"/>
        <v>4.5482539456553244E-3</v>
      </c>
      <c r="BE35" s="65">
        <f t="shared" si="21"/>
        <v>1.0005999549746871E-2</v>
      </c>
      <c r="BF35" s="65">
        <f t="shared" si="22"/>
        <v>1.5203243428854187E-4</v>
      </c>
      <c r="BG35" s="65">
        <f t="shared" si="23"/>
        <v>1.1402251235617898E-3</v>
      </c>
      <c r="BH35" s="65">
        <f t="shared" si="24"/>
        <v>3.8114397335562847E-6</v>
      </c>
      <c r="BI35" s="65">
        <f t="shared" si="25"/>
        <v>1.0394670325040249E-4</v>
      </c>
      <c r="BJ35" s="65">
        <f t="shared" si="26"/>
        <v>7.6441966665932446E-8</v>
      </c>
    </row>
    <row r="36" spans="1:62" ht="15" thickTop="1" x14ac:dyDescent="0.3">
      <c r="A36" s="38"/>
      <c r="B36" s="62"/>
      <c r="C36" s="63"/>
      <c r="D36" s="86"/>
      <c r="E36" s="87"/>
      <c r="F36" s="87"/>
      <c r="G36" s="87"/>
      <c r="H36" s="87"/>
      <c r="I36" s="87"/>
      <c r="J36" s="87"/>
      <c r="K36" s="87"/>
      <c r="L36" s="87"/>
      <c r="M36" s="87"/>
      <c r="N36" s="87"/>
      <c r="O36" s="87"/>
      <c r="P36" s="87"/>
      <c r="Q36" s="87"/>
      <c r="R36" s="87"/>
      <c r="S36" s="87"/>
      <c r="T36" s="87"/>
      <c r="U36" s="87"/>
      <c r="V36" s="76"/>
      <c r="W36" s="62"/>
      <c r="X36" s="63"/>
      <c r="Y36" s="64"/>
      <c r="Z36" s="65"/>
      <c r="AA36" s="65"/>
      <c r="AB36" s="65"/>
      <c r="AC36" s="65"/>
      <c r="AD36" s="65"/>
      <c r="AE36" s="65"/>
      <c r="AF36" s="65"/>
      <c r="AG36" s="65"/>
      <c r="AH36" s="65"/>
      <c r="AI36" s="65"/>
      <c r="AJ36" s="65"/>
      <c r="AK36" s="65"/>
      <c r="AL36" s="65"/>
      <c r="AM36" s="65"/>
      <c r="AN36" s="65"/>
      <c r="AO36" s="65"/>
      <c r="AP36" s="65"/>
      <c r="AQ36" s="76"/>
      <c r="AR36" s="62">
        <f t="shared" si="50"/>
        <v>813</v>
      </c>
      <c r="AS36" s="63">
        <v>540</v>
      </c>
      <c r="AT36" s="64">
        <f t="shared" si="14"/>
        <v>0.91644048</v>
      </c>
      <c r="AU36" s="65">
        <f t="shared" si="15"/>
        <v>0.51101928000000008</v>
      </c>
      <c r="AV36" s="65">
        <f t="shared" si="51"/>
        <v>0.51101928000000008</v>
      </c>
      <c r="AW36" s="65">
        <f t="shared" si="52"/>
        <v>0.11242424160000003</v>
      </c>
      <c r="AX36" s="65">
        <f t="shared" si="16"/>
        <v>0.59988381750968922</v>
      </c>
      <c r="AY36" s="65">
        <f t="shared" ref="AY36:AZ39" si="54">SUM(BA36,BC36,BE36,BG36,BI36)</f>
        <v>0.40010018856936364</v>
      </c>
      <c r="AZ36" s="65">
        <f t="shared" si="54"/>
        <v>0.10633495027488725</v>
      </c>
      <c r="BA36" s="65">
        <f t="shared" si="17"/>
        <v>0.3065521965074528</v>
      </c>
      <c r="BB36" s="65">
        <f t="shared" si="18"/>
        <v>0.10046961517343389</v>
      </c>
      <c r="BC36" s="65">
        <f t="shared" si="19"/>
        <v>7.8327041370828548E-2</v>
      </c>
      <c r="BD36" s="65">
        <f t="shared" si="20"/>
        <v>5.6476101448585799E-3</v>
      </c>
      <c r="BE36" s="65">
        <f t="shared" si="21"/>
        <v>1.3342209428617009E-2</v>
      </c>
      <c r="BF36" s="65">
        <f t="shared" si="22"/>
        <v>2.1164276246273071E-4</v>
      </c>
      <c r="BG36" s="65">
        <f t="shared" si="23"/>
        <v>1.704531563955269E-3</v>
      </c>
      <c r="BH36" s="65">
        <f t="shared" si="24"/>
        <v>5.9484442650003647E-6</v>
      </c>
      <c r="BI36" s="65">
        <f t="shared" si="25"/>
        <v>1.7420969850993911E-4</v>
      </c>
      <c r="BJ36" s="65">
        <f t="shared" si="26"/>
        <v>1.3374986703850713E-7</v>
      </c>
    </row>
    <row r="37" spans="1:62" x14ac:dyDescent="0.3">
      <c r="A37" s="38"/>
      <c r="B37" s="62"/>
      <c r="C37" s="63"/>
      <c r="D37" s="86"/>
      <c r="E37" s="87"/>
      <c r="F37" s="87"/>
      <c r="G37" s="87"/>
      <c r="H37" s="87"/>
      <c r="I37" s="87"/>
      <c r="J37" s="87"/>
      <c r="K37" s="87"/>
      <c r="L37" s="87"/>
      <c r="M37" s="87"/>
      <c r="N37" s="87"/>
      <c r="O37" s="87"/>
      <c r="P37" s="87"/>
      <c r="Q37" s="87"/>
      <c r="R37" s="87"/>
      <c r="S37" s="87"/>
      <c r="T37" s="87"/>
      <c r="U37" s="87"/>
      <c r="V37" s="76"/>
      <c r="W37" s="62"/>
      <c r="X37" s="63"/>
      <c r="Y37" s="64"/>
      <c r="Z37" s="65"/>
      <c r="AA37" s="65"/>
      <c r="AB37" s="65"/>
      <c r="AC37" s="65"/>
      <c r="AD37" s="65"/>
      <c r="AE37" s="65"/>
      <c r="AF37" s="65"/>
      <c r="AG37" s="65"/>
      <c r="AH37" s="65"/>
      <c r="AI37" s="65"/>
      <c r="AJ37" s="65"/>
      <c r="AK37" s="65"/>
      <c r="AL37" s="65"/>
      <c r="AM37" s="65"/>
      <c r="AN37" s="65"/>
      <c r="AO37" s="65"/>
      <c r="AP37" s="65"/>
      <c r="AQ37" s="76"/>
      <c r="AR37" s="62">
        <f t="shared" si="50"/>
        <v>813</v>
      </c>
      <c r="AS37" s="63">
        <v>570</v>
      </c>
      <c r="AT37" s="64">
        <f t="shared" si="14"/>
        <v>1.0210957199999999</v>
      </c>
      <c r="AU37" s="65">
        <f t="shared" si="15"/>
        <v>0.56937641999999999</v>
      </c>
      <c r="AV37" s="65">
        <f t="shared" si="51"/>
        <v>0.56937641999999999</v>
      </c>
      <c r="AW37" s="65">
        <f t="shared" si="52"/>
        <v>0.12526281239999998</v>
      </c>
      <c r="AX37" s="65">
        <f t="shared" si="16"/>
        <v>0.56587819902831327</v>
      </c>
      <c r="AY37" s="65">
        <f t="shared" si="54"/>
        <v>0.43409267882994473</v>
      </c>
      <c r="AZ37" s="65">
        <f t="shared" si="54"/>
        <v>0.11773499325010731</v>
      </c>
      <c r="BA37" s="65">
        <f t="shared" si="17"/>
        <v>0.32219770311878848</v>
      </c>
      <c r="BB37" s="65">
        <f t="shared" si="18"/>
        <v>0.11051499542386239</v>
      </c>
      <c r="BC37" s="65">
        <f t="shared" si="19"/>
        <v>9.1725887366999298E-2</v>
      </c>
      <c r="BD37" s="65">
        <f t="shared" si="20"/>
        <v>6.9217095695830646E-3</v>
      </c>
      <c r="BE37" s="65">
        <f t="shared" si="21"/>
        <v>1.7408852456781764E-2</v>
      </c>
      <c r="BF37" s="65">
        <f t="shared" si="22"/>
        <v>2.8901093576732271E-4</v>
      </c>
      <c r="BG37" s="65">
        <f t="shared" si="23"/>
        <v>2.4780475220376511E-3</v>
      </c>
      <c r="BH37" s="65">
        <f t="shared" si="24"/>
        <v>9.0505806571426461E-6</v>
      </c>
      <c r="BI37" s="65">
        <f t="shared" si="25"/>
        <v>2.8218836533753377E-4</v>
      </c>
      <c r="BJ37" s="65">
        <f t="shared" si="26"/>
        <v>2.2674023739334555E-7</v>
      </c>
    </row>
    <row r="38" spans="1:62" x14ac:dyDescent="0.3">
      <c r="A38" s="38"/>
      <c r="B38" s="62"/>
      <c r="C38" s="63"/>
      <c r="D38" s="86"/>
      <c r="E38" s="87"/>
      <c r="F38" s="87"/>
      <c r="G38" s="87"/>
      <c r="H38" s="87"/>
      <c r="I38" s="87"/>
      <c r="J38" s="87"/>
      <c r="K38" s="87"/>
      <c r="L38" s="87"/>
      <c r="M38" s="87"/>
      <c r="N38" s="87"/>
      <c r="O38" s="87"/>
      <c r="P38" s="87"/>
      <c r="Q38" s="87"/>
      <c r="R38" s="87"/>
      <c r="S38" s="87"/>
      <c r="T38" s="87"/>
      <c r="U38" s="87"/>
      <c r="V38" s="76"/>
      <c r="W38" s="62"/>
      <c r="X38" s="63"/>
      <c r="Y38" s="64"/>
      <c r="Z38" s="65"/>
      <c r="AA38" s="65"/>
      <c r="AB38" s="65"/>
      <c r="AC38" s="65"/>
      <c r="AD38" s="65"/>
      <c r="AE38" s="65"/>
      <c r="AF38" s="65"/>
      <c r="AG38" s="65"/>
      <c r="AH38" s="65"/>
      <c r="AI38" s="65"/>
      <c r="AJ38" s="65"/>
      <c r="AK38" s="65"/>
      <c r="AL38" s="65"/>
      <c r="AM38" s="65"/>
      <c r="AN38" s="65"/>
      <c r="AO38" s="65"/>
      <c r="AP38" s="65"/>
      <c r="AQ38" s="76"/>
      <c r="AR38" s="62">
        <f t="shared" si="50"/>
        <v>813</v>
      </c>
      <c r="AS38" s="63">
        <v>600</v>
      </c>
      <c r="AT38" s="64">
        <f t="shared" si="14"/>
        <v>1.131408</v>
      </c>
      <c r="AU38" s="65">
        <f t="shared" si="15"/>
        <v>0.630888</v>
      </c>
      <c r="AV38" s="65">
        <f t="shared" si="51"/>
        <v>0.630888</v>
      </c>
      <c r="AW38" s="65">
        <f t="shared" si="52"/>
        <v>0.13879535999999998</v>
      </c>
      <c r="AX38" s="65">
        <f t="shared" si="16"/>
        <v>0.53211906941149556</v>
      </c>
      <c r="AY38" s="65">
        <f t="shared" si="54"/>
        <v>0.46782977422456101</v>
      </c>
      <c r="AZ38" s="65">
        <f t="shared" si="54"/>
        <v>0.12959386103838466</v>
      </c>
      <c r="BA38" s="65">
        <f t="shared" si="17"/>
        <v>0.33570753546287962</v>
      </c>
      <c r="BB38" s="65">
        <f t="shared" si="18"/>
        <v>0.12080833217964579</v>
      </c>
      <c r="BC38" s="65">
        <f t="shared" si="19"/>
        <v>0.10589692781655259</v>
      </c>
      <c r="BD38" s="65">
        <f t="shared" si="20"/>
        <v>8.3838179779367594E-3</v>
      </c>
      <c r="BE38" s="65">
        <f t="shared" si="21"/>
        <v>2.2269700332109746E-2</v>
      </c>
      <c r="BF38" s="65">
        <f t="shared" si="22"/>
        <v>3.8787834480740146E-4</v>
      </c>
      <c r="BG38" s="65">
        <f t="shared" si="23"/>
        <v>3.5124216757810131E-3</v>
      </c>
      <c r="BH38" s="65">
        <f t="shared" si="24"/>
        <v>1.3458928625936854E-5</v>
      </c>
      <c r="BI38" s="65">
        <f t="shared" si="25"/>
        <v>4.431889372380264E-4</v>
      </c>
      <c r="BJ38" s="65">
        <f t="shared" si="26"/>
        <v>3.7360736877024216E-7</v>
      </c>
    </row>
    <row r="39" spans="1:62" x14ac:dyDescent="0.3">
      <c r="A39" s="38"/>
      <c r="B39" s="62"/>
      <c r="C39" s="63"/>
      <c r="D39" s="86"/>
      <c r="E39" s="87"/>
      <c r="F39" s="87"/>
      <c r="G39" s="87"/>
      <c r="H39" s="87"/>
      <c r="I39" s="87"/>
      <c r="J39" s="87"/>
      <c r="K39" s="87"/>
      <c r="L39" s="87"/>
      <c r="M39" s="87"/>
      <c r="N39" s="87"/>
      <c r="O39" s="87"/>
      <c r="P39" s="87"/>
      <c r="Q39" s="87"/>
      <c r="R39" s="87"/>
      <c r="S39" s="87"/>
      <c r="T39" s="87"/>
      <c r="U39" s="87"/>
      <c r="V39" s="76"/>
      <c r="W39" s="62"/>
      <c r="X39" s="63"/>
      <c r="Y39" s="64"/>
      <c r="Z39" s="65"/>
      <c r="AA39" s="65"/>
      <c r="AB39" s="65"/>
      <c r="AC39" s="65"/>
      <c r="AD39" s="65"/>
      <c r="AE39" s="65"/>
      <c r="AF39" s="65"/>
      <c r="AG39" s="65"/>
      <c r="AH39" s="65"/>
      <c r="AI39" s="65"/>
      <c r="AJ39" s="65"/>
      <c r="AK39" s="65"/>
      <c r="AL39" s="65"/>
      <c r="AM39" s="65"/>
      <c r="AN39" s="65"/>
      <c r="AO39" s="65"/>
      <c r="AP39" s="65"/>
      <c r="AQ39" s="76"/>
      <c r="AR39" s="62">
        <f t="shared" si="50"/>
        <v>813</v>
      </c>
      <c r="AS39" s="63">
        <v>630</v>
      </c>
      <c r="AT39" s="64">
        <f t="shared" si="14"/>
        <v>1.2473773199999998</v>
      </c>
      <c r="AU39" s="65">
        <f t="shared" si="15"/>
        <v>0.69555401999999988</v>
      </c>
      <c r="AV39" s="65">
        <f t="shared" si="51"/>
        <v>0.69555401999999988</v>
      </c>
      <c r="AW39" s="65">
        <f t="shared" si="52"/>
        <v>0.15302188439999997</v>
      </c>
      <c r="AX39" s="65">
        <f t="shared" si="16"/>
        <v>0.49879802733781714</v>
      </c>
      <c r="AY39" s="65">
        <f t="shared" si="54"/>
        <v>0.50111499658664616</v>
      </c>
      <c r="AZ39" s="65">
        <f t="shared" si="54"/>
        <v>0.14188904199476185</v>
      </c>
      <c r="BA39" s="65">
        <f t="shared" si="17"/>
        <v>0.34694097308288857</v>
      </c>
      <c r="BB39" s="65">
        <f t="shared" si="18"/>
        <v>0.13130975342461529</v>
      </c>
      <c r="BC39" s="65">
        <f t="shared" si="19"/>
        <v>0.12065809426525745</v>
      </c>
      <c r="BD39" s="65">
        <f t="shared" si="20"/>
        <v>1.0046632954566989E-2</v>
      </c>
      <c r="BE39" s="65">
        <f t="shared" si="21"/>
        <v>2.7974740837246253E-2</v>
      </c>
      <c r="BF39" s="65">
        <f t="shared" si="22"/>
        <v>5.1245156886099339E-4</v>
      </c>
      <c r="BG39" s="65">
        <f t="shared" si="23"/>
        <v>4.8644858619511979E-3</v>
      </c>
      <c r="BH39" s="65">
        <f t="shared" si="24"/>
        <v>1.9604076182711385E-5</v>
      </c>
      <c r="BI39" s="65">
        <f t="shared" si="25"/>
        <v>6.76702539302664E-4</v>
      </c>
      <c r="BJ39" s="65">
        <f t="shared" si="26"/>
        <v>5.9997053587993089E-7</v>
      </c>
    </row>
    <row r="40" spans="1:62" x14ac:dyDescent="0.3">
      <c r="A40" s="38"/>
      <c r="B40" s="62"/>
      <c r="C40" s="63"/>
      <c r="D40" s="86"/>
      <c r="E40" s="87"/>
      <c r="F40" s="87"/>
      <c r="G40" s="87"/>
      <c r="H40" s="87"/>
      <c r="I40" s="87"/>
      <c r="J40" s="87"/>
      <c r="K40" s="87"/>
      <c r="L40" s="87"/>
      <c r="M40" s="87"/>
      <c r="N40" s="87"/>
      <c r="O40" s="87"/>
      <c r="P40" s="87"/>
      <c r="Q40" s="87"/>
      <c r="R40" s="87"/>
      <c r="S40" s="87"/>
      <c r="T40" s="87"/>
      <c r="U40" s="87"/>
      <c r="V40" s="76"/>
      <c r="W40" s="62"/>
      <c r="X40" s="63"/>
      <c r="Y40" s="64"/>
      <c r="Z40" s="65"/>
      <c r="AA40" s="65"/>
      <c r="AB40" s="65"/>
      <c r="AC40" s="65"/>
      <c r="AD40" s="65"/>
      <c r="AE40" s="65"/>
      <c r="AF40" s="65"/>
      <c r="AG40" s="65"/>
      <c r="AH40" s="65"/>
      <c r="AI40" s="65"/>
      <c r="AJ40" s="65"/>
      <c r="AK40" s="65"/>
      <c r="AL40" s="65"/>
      <c r="AM40" s="65"/>
      <c r="AN40" s="65"/>
      <c r="AO40" s="65"/>
      <c r="AP40" s="65"/>
      <c r="AQ40" s="76"/>
      <c r="AR40" s="62"/>
      <c r="AS40" s="63"/>
      <c r="AT40" s="62"/>
      <c r="AU40" s="65"/>
      <c r="AV40" s="65"/>
      <c r="AW40" s="65"/>
      <c r="AX40" s="65"/>
      <c r="AY40" s="65"/>
      <c r="AZ40" s="65"/>
      <c r="BA40" s="65"/>
      <c r="BB40" s="65"/>
      <c r="BC40" s="76"/>
      <c r="BD40" s="62"/>
      <c r="BE40" s="63"/>
      <c r="BF40" s="16"/>
      <c r="BG40" s="65"/>
      <c r="BH40" s="65"/>
      <c r="BI40" s="65"/>
      <c r="BJ40" s="65"/>
    </row>
    <row r="41" spans="1:62" x14ac:dyDescent="0.3">
      <c r="A41" s="38"/>
      <c r="B41" s="38"/>
      <c r="C41" s="38"/>
      <c r="D41" s="38"/>
      <c r="E41" s="38"/>
      <c r="F41" s="38"/>
      <c r="G41" s="38"/>
      <c r="H41" s="38"/>
      <c r="I41" s="65"/>
      <c r="J41" s="65"/>
      <c r="K41" s="65"/>
      <c r="L41" s="38"/>
      <c r="M41" s="38"/>
      <c r="N41" s="38"/>
      <c r="O41" s="38"/>
      <c r="P41" s="38"/>
      <c r="Q41" s="38"/>
      <c r="R41" s="38"/>
      <c r="S41" s="38"/>
      <c r="T41" s="38"/>
      <c r="U41" s="38"/>
      <c r="V41" s="38"/>
      <c r="W41" s="38"/>
      <c r="X41" s="38"/>
      <c r="Y41" s="38"/>
      <c r="Z41" s="38"/>
      <c r="AA41" s="38"/>
      <c r="AB41" s="38"/>
      <c r="AC41" s="38"/>
      <c r="AD41" s="38"/>
      <c r="AE41" s="38"/>
      <c r="AF41" s="38"/>
      <c r="AG41" s="38"/>
      <c r="AH41" s="38"/>
      <c r="AI41" s="38"/>
      <c r="AJ41" s="38"/>
      <c r="AK41" s="38"/>
      <c r="AL41" s="38"/>
      <c r="AM41" s="38"/>
      <c r="AN41" s="38"/>
      <c r="AO41" s="38"/>
      <c r="AP41" s="38"/>
      <c r="AQ41" s="38"/>
      <c r="AR41" s="38"/>
      <c r="AS41" s="38"/>
      <c r="AT41" s="38"/>
      <c r="AU41" s="38"/>
      <c r="AV41" s="38"/>
      <c r="AW41" s="38"/>
      <c r="AX41" s="38"/>
      <c r="AY41" s="38"/>
      <c r="AZ41" s="38"/>
      <c r="BA41" s="38"/>
      <c r="BB41" s="38"/>
      <c r="BC41" s="38"/>
      <c r="BD41" s="38"/>
      <c r="BE41" s="38"/>
      <c r="BF41" s="38"/>
      <c r="BG41" s="38"/>
      <c r="BH41" s="38"/>
      <c r="BI41" s="38"/>
      <c r="BJ41" s="38"/>
    </row>
    <row r="42" spans="1:62" ht="46.5" customHeight="1" x14ac:dyDescent="0.3">
      <c r="A42" s="1387" t="s">
        <v>384</v>
      </c>
      <c r="B42" s="1387"/>
      <c r="C42" s="1387"/>
      <c r="D42" s="1387"/>
      <c r="E42" s="1387"/>
      <c r="F42" s="1387"/>
      <c r="G42" s="1387"/>
      <c r="H42" s="1387"/>
      <c r="I42" s="1387"/>
      <c r="J42" s="1387"/>
      <c r="K42" s="1387"/>
      <c r="L42" s="1387"/>
      <c r="M42" s="1387"/>
      <c r="N42" s="1387"/>
      <c r="O42" s="1387"/>
      <c r="P42" s="1387"/>
      <c r="Q42" s="1387"/>
      <c r="R42" s="1387"/>
      <c r="S42" s="1387"/>
      <c r="T42" s="1387"/>
      <c r="U42" s="1387"/>
      <c r="V42" s="1383" t="s">
        <v>385</v>
      </c>
      <c r="W42" s="1383"/>
      <c r="X42" s="1383"/>
      <c r="Y42" s="1383"/>
      <c r="Z42" s="1383"/>
      <c r="AA42" s="1383"/>
      <c r="AB42" s="1383"/>
      <c r="AC42" s="1383"/>
      <c r="AD42" s="1383"/>
      <c r="AE42" s="1383"/>
      <c r="AF42" s="1383"/>
      <c r="AG42" s="1383"/>
      <c r="AH42" s="1383"/>
      <c r="AI42" s="1383"/>
      <c r="AJ42" s="1383"/>
      <c r="AK42" s="1383"/>
      <c r="AL42" s="1383"/>
      <c r="AM42" s="1383"/>
      <c r="AN42" s="1383"/>
      <c r="AO42" s="1383"/>
      <c r="AP42" s="1383"/>
      <c r="AQ42" s="1383" t="s">
        <v>386</v>
      </c>
      <c r="AR42" s="1383"/>
      <c r="AS42" s="1383"/>
      <c r="AT42" s="1383"/>
      <c r="AU42" s="1383"/>
      <c r="AV42" s="1383"/>
      <c r="AW42" s="1383"/>
      <c r="AX42" s="1383"/>
      <c r="AY42" s="1383"/>
      <c r="AZ42" s="1383"/>
      <c r="BA42" s="1383"/>
      <c r="BB42" s="1383"/>
      <c r="BC42" s="1383"/>
      <c r="BD42" s="1383"/>
      <c r="BE42" s="1383"/>
      <c r="BF42" s="1383"/>
      <c r="BG42" s="1383"/>
      <c r="BH42" s="1383"/>
      <c r="BI42" s="1383"/>
      <c r="BJ42" s="50"/>
    </row>
    <row r="43" spans="1:62" ht="96.75" customHeight="1" thickBot="1" x14ac:dyDescent="0.35">
      <c r="A43" s="57"/>
      <c r="B43" s="88" t="s">
        <v>362</v>
      </c>
      <c r="C43" s="88" t="s">
        <v>363</v>
      </c>
      <c r="D43" s="89" t="s">
        <v>364</v>
      </c>
      <c r="E43" s="52" t="s">
        <v>365</v>
      </c>
      <c r="F43" s="52" t="s">
        <v>366</v>
      </c>
      <c r="G43" s="52" t="s">
        <v>367</v>
      </c>
      <c r="H43" s="53" t="s">
        <v>368</v>
      </c>
      <c r="I43" s="152" t="s">
        <v>382</v>
      </c>
      <c r="J43" s="57" t="s">
        <v>419</v>
      </c>
      <c r="K43" s="152" t="s">
        <v>383</v>
      </c>
      <c r="L43" s="53" t="s">
        <v>371</v>
      </c>
      <c r="M43" s="53" t="s">
        <v>372</v>
      </c>
      <c r="N43" s="53" t="s">
        <v>373</v>
      </c>
      <c r="O43" s="53" t="s">
        <v>374</v>
      </c>
      <c r="P43" s="53" t="s">
        <v>375</v>
      </c>
      <c r="Q43" s="53" t="s">
        <v>376</v>
      </c>
      <c r="R43" s="53" t="s">
        <v>377</v>
      </c>
      <c r="S43" s="53" t="s">
        <v>378</v>
      </c>
      <c r="T43" s="53" t="s">
        <v>379</v>
      </c>
      <c r="U43" s="53" t="s">
        <v>380</v>
      </c>
      <c r="V43" s="57"/>
      <c r="W43" s="58" t="s">
        <v>362</v>
      </c>
      <c r="X43" s="58" t="s">
        <v>363</v>
      </c>
      <c r="Y43" s="59" t="s">
        <v>364</v>
      </c>
      <c r="Z43" s="57" t="s">
        <v>365</v>
      </c>
      <c r="AA43" s="52" t="s">
        <v>366</v>
      </c>
      <c r="AB43" s="52" t="s">
        <v>367</v>
      </c>
      <c r="AC43" s="60" t="s">
        <v>368</v>
      </c>
      <c r="AD43" s="152" t="s">
        <v>382</v>
      </c>
      <c r="AE43" s="57" t="s">
        <v>419</v>
      </c>
      <c r="AF43" s="152" t="s">
        <v>383</v>
      </c>
      <c r="AG43" s="153" t="s">
        <v>371</v>
      </c>
      <c r="AH43" s="153" t="s">
        <v>372</v>
      </c>
      <c r="AI43" s="153" t="s">
        <v>373</v>
      </c>
      <c r="AJ43" s="153" t="s">
        <v>374</v>
      </c>
      <c r="AK43" s="153" t="s">
        <v>375</v>
      </c>
      <c r="AL43" s="153" t="s">
        <v>376</v>
      </c>
      <c r="AM43" s="153" t="s">
        <v>377</v>
      </c>
      <c r="AN43" s="153" t="s">
        <v>378</v>
      </c>
      <c r="AO43" s="153" t="s">
        <v>379</v>
      </c>
      <c r="AP43" s="153" t="s">
        <v>380</v>
      </c>
      <c r="AQ43" s="57"/>
      <c r="AR43" s="58" t="s">
        <v>362</v>
      </c>
      <c r="AS43" s="58" t="s">
        <v>363</v>
      </c>
      <c r="AT43" s="59" t="s">
        <v>364</v>
      </c>
      <c r="AU43" s="57" t="s">
        <v>365</v>
      </c>
      <c r="AV43" s="52" t="s">
        <v>366</v>
      </c>
      <c r="AW43" s="52" t="s">
        <v>367</v>
      </c>
      <c r="AX43" s="60" t="s">
        <v>368</v>
      </c>
      <c r="AY43" s="57" t="s">
        <v>382</v>
      </c>
      <c r="AZ43" s="57" t="s">
        <v>383</v>
      </c>
      <c r="BA43" s="60" t="s">
        <v>371</v>
      </c>
      <c r="BB43" s="60" t="s">
        <v>372</v>
      </c>
      <c r="BC43" s="60" t="s">
        <v>373</v>
      </c>
      <c r="BD43" s="60" t="s">
        <v>374</v>
      </c>
      <c r="BE43" s="60" t="s">
        <v>375</v>
      </c>
      <c r="BF43" s="60" t="s">
        <v>376</v>
      </c>
      <c r="BG43" s="60" t="s">
        <v>377</v>
      </c>
      <c r="BH43" s="60" t="s">
        <v>378</v>
      </c>
      <c r="BI43" s="60" t="s">
        <v>379</v>
      </c>
      <c r="BJ43" s="60" t="s">
        <v>380</v>
      </c>
    </row>
    <row r="44" spans="1:62" ht="15" thickTop="1" x14ac:dyDescent="0.3">
      <c r="A44" s="57"/>
      <c r="B44" s="62">
        <f>ROUNDUP(1.84*($E$6/$P$13),0)</f>
        <v>8884</v>
      </c>
      <c r="C44" s="63">
        <v>30</v>
      </c>
      <c r="D44" s="64">
        <f>((C44^2)*3.1428)/1000000</f>
        <v>2.8285200000000002E-3</v>
      </c>
      <c r="E44" s="65">
        <f t="shared" ref="E44:E60" si="55">B44/(3494/$D44)</f>
        <v>7.1919209158557533E-3</v>
      </c>
      <c r="F44" s="65">
        <f>1*E44</f>
        <v>7.1919209158557533E-3</v>
      </c>
      <c r="G44" s="65">
        <f>1*($E44-($E44*0.78))</f>
        <v>1.5822226014882658E-3</v>
      </c>
      <c r="H44" s="65">
        <f t="shared" ref="H44:H60" si="56">EXP(-$E44)</f>
        <v>0.99283387905986165</v>
      </c>
      <c r="I44" s="65">
        <f t="shared" ref="I44:I60" si="57">SUM(L44,N44,P44,R44,T44)</f>
        <v>7.1661209401381156E-3</v>
      </c>
      <c r="J44" s="65"/>
      <c r="K44" s="90">
        <f>SUM(M44,O44,Q44,S44,U44)</f>
        <v>1.5809715472103756E-3</v>
      </c>
      <c r="L44" s="65">
        <f t="shared" ref="L44:L60" si="58">EXP(-$F44)*POWER($F44,1)</f>
        <v>7.1403827407808202E-3</v>
      </c>
      <c r="M44" s="65">
        <f t="shared" ref="M44:M60" si="59">EXP(-$G44)*POWER($G44,1)</f>
        <v>1.5797211525739596E-3</v>
      </c>
      <c r="N44" s="65">
        <f t="shared" ref="N44:N60" si="60">EXP(-$F44)*POWER($F44,2)/FACT(2)</f>
        <v>2.5676533990318505E-5</v>
      </c>
      <c r="O44" s="65">
        <f t="shared" ref="O44:O60" si="61">EXP(-$G44)*POWER($G44,2)/FACT(2)</f>
        <v>1.249735255825806E-6</v>
      </c>
      <c r="P44" s="65">
        <f t="shared" ref="P44:P60" si="62">EXP(-$F44)*POWER($F44,3)/FACT(3)</f>
        <v>6.1554533950550946E-8</v>
      </c>
      <c r="Q44" s="65">
        <f t="shared" ref="Q44:Q60" si="63">EXP(-$G44)*POWER($G44,3)/FACT(3)</f>
        <v>6.5911978921477005E-10</v>
      </c>
      <c r="R44" s="65">
        <f t="shared" ref="R44:R60" si="64">EXP(-$F44)*POWER($F44,4)/FACT(4)</f>
        <v>1.1067383504618012E-10</v>
      </c>
      <c r="S44" s="65">
        <f t="shared" ref="S44:S60" si="65">EXP(-$G44)*POWER($G44,4)/FACT(4)</f>
        <v>2.6071855689594773E-13</v>
      </c>
      <c r="T44" s="65">
        <f t="shared" ref="T44:T60" si="66">EXP(-$F44)*POWER($F44,5)/FACT(5)</f>
        <v>1.5919149382131846E-13</v>
      </c>
      <c r="U44" s="65">
        <f t="shared" ref="U44:U60" si="67">EXP(-$G44)*POWER($G44,5)/FACT(5)</f>
        <v>8.250295866963458E-17</v>
      </c>
      <c r="V44" s="68"/>
      <c r="W44" s="62">
        <f t="shared" ref="W44:W60" si="68">ROUNDUP($H$3/$P$13,0)</f>
        <v>2540</v>
      </c>
      <c r="X44" s="63">
        <v>30</v>
      </c>
      <c r="Y44" s="62">
        <f t="shared" ref="Y44:Y60" si="69">((X44^2)*3.1428)/1000000</f>
        <v>2.8285200000000002E-3</v>
      </c>
      <c r="Z44" s="65">
        <f>W44/(839/$Y44)</f>
        <v>8.5630998808104899E-3</v>
      </c>
      <c r="AA44" s="65">
        <f>1*$Z44</f>
        <v>8.5630998808104899E-3</v>
      </c>
      <c r="AB44" s="65">
        <f>1*($Z44-($Z44*0.78))</f>
        <v>1.8838819737783076E-3</v>
      </c>
      <c r="AC44" s="65">
        <f t="shared" ref="AC44:AC60" si="70">EXP(-$AA44)</f>
        <v>0.99147345903201067</v>
      </c>
      <c r="AD44" s="65">
        <f>1-AC44</f>
        <v>8.5265409679893267E-3</v>
      </c>
      <c r="AE44" s="65">
        <f>EXP(-AB44)</f>
        <v>0.99811789141807217</v>
      </c>
      <c r="AF44" s="65">
        <f>1-AE44</f>
        <v>1.8821085819278327E-3</v>
      </c>
      <c r="AG44" s="154">
        <f>EXP(-$AA44)*POWER($AA44,1)</f>
        <v>8.490086258863775E-3</v>
      </c>
      <c r="AH44" s="154">
        <f>EXP(-$AB44)*POWER($AB44,1)</f>
        <v>1.8803363033481203E-3</v>
      </c>
      <c r="AI44" s="154">
        <f t="shared" ref="AI44:AI60" si="71">EXP(-$AA44)*POWER($AA44,2)/FACT(2)</f>
        <v>3.6350728315673581E-5</v>
      </c>
      <c r="AJ44" s="154">
        <f>EXP(-$AB44)*POWER($AB44,2)/FACT(2)</f>
        <v>1.7711658332592316E-6</v>
      </c>
      <c r="AK44" s="154">
        <f t="shared" ref="AK44:AK60" si="72">EXP(-$AA44)*POWER($AA44,3)/FACT(3)</f>
        <v>1.0375830576910632E-7</v>
      </c>
      <c r="AL44" s="154">
        <f>EXP(-$AB44)*POWER($AB44,3)/FACT(3)</f>
        <v>1.1122224619497006E-9</v>
      </c>
      <c r="AM44" s="154">
        <f t="shared" ref="AM44:AM60" si="73">EXP(-$AA44)*POWER($AA44,4)/FACT(4)</f>
        <v>2.2212318394113313E-10</v>
      </c>
      <c r="AN44" s="154">
        <f>EXP(-$AB44)*POWER($AB44,4)/FACT(4)</f>
        <v>5.2382396172459264E-13</v>
      </c>
      <c r="AO44" s="154">
        <f t="shared" ref="AO44:AO60" si="74">EXP(-$AA44)*POWER($AA44,5)/FACT(5)</f>
        <v>3.8041260198631276E-13</v>
      </c>
      <c r="AP44" s="154">
        <f>EXP(-$AB44)*POWER($AB44,5)/FACT(5)</f>
        <v>1.9736450378521965E-16</v>
      </c>
      <c r="AQ44" s="68"/>
      <c r="AR44" s="62">
        <f>ROUNDUP($H$5/$P$13,0)</f>
        <v>1044</v>
      </c>
      <c r="AS44" s="63">
        <v>30</v>
      </c>
      <c r="AT44" s="64">
        <f t="shared" ref="AT44:AT60" si="75">((AS44^2)*3.1428)/1000000</f>
        <v>2.8285200000000002E-3</v>
      </c>
      <c r="AU44" s="65">
        <f t="shared" ref="AU44:AU60" si="76">AR44/(1458/$AT44)</f>
        <v>2.0253599999999999E-3</v>
      </c>
      <c r="AV44" s="65">
        <f>1*AU44</f>
        <v>2.0253599999999999E-3</v>
      </c>
      <c r="AW44" s="65">
        <f>1*($AU44-($AU44*0.78))</f>
        <v>4.4557919999999984E-4</v>
      </c>
      <c r="AX44" s="65">
        <f t="shared" ref="AX44:AX60" si="77">EXP(-$AV44)</f>
        <v>0.99797668965756647</v>
      </c>
      <c r="AY44" s="65">
        <f>SUM(BA44,BC44,BE44,BG44,BI44)</f>
        <v>2.0233103424335359E-3</v>
      </c>
      <c r="AZ44" s="65">
        <f>SUM(BB44,BD44,BF44,BH44,BJ44)</f>
        <v>4.4547994433089818E-4</v>
      </c>
      <c r="BA44" s="65">
        <f t="shared" ref="BA44:BA60" si="78">EXP(-$AV44)*POWER($AV44,1)</f>
        <v>2.0212620681648486E-3</v>
      </c>
      <c r="BB44" s="65">
        <f t="shared" ref="BB44:BB60" si="79">EXP(-$AW44)*POWER($AW44,1)</f>
        <v>4.4538070340278886E-4</v>
      </c>
      <c r="BC44" s="65">
        <f t="shared" ref="BC44:BC60" si="80">EXP(-$AV44)*POWER($AV44,2)/FACT(2)</f>
        <v>2.0468916711891787E-6</v>
      </c>
      <c r="BD44" s="65">
        <f t="shared" ref="BD44:BD60" si="81">EXP(-$AW44)*POWER($AW44,2)/FACT(2)</f>
        <v>9.9226188758825926E-8</v>
      </c>
      <c r="BE44" s="65">
        <f t="shared" ref="BE44:BE60" si="82">EXP(-$AV44)*POWER($AV44,3)/FACT(3)</f>
        <v>1.3818975050532383E-9</v>
      </c>
      <c r="BF44" s="65">
        <f t="shared" ref="BF44:BF60" si="83">EXP(-$AW44)*POWER($AW44,3)/FACT(3)</f>
        <v>1.4737708602068877E-11</v>
      </c>
      <c r="BG44" s="65">
        <f t="shared" ref="BG44:BG60" si="84">EXP(-$AV44)*POWER($AV44,4)/FACT(4)</f>
        <v>6.9970998270865662E-13</v>
      </c>
      <c r="BH44" s="65">
        <f t="shared" ref="BH44:BH60" si="85">EXP(-$AW44)*POWER($AW44,4)/FACT(4)</f>
        <v>1.6417041021857418E-15</v>
      </c>
      <c r="BI44" s="65">
        <f t="shared" ref="BI44:BI60" si="86">EXP(-$AV44)*POWER($AV44,5)/FACT(5)</f>
        <v>2.8343292211576091E-16</v>
      </c>
      <c r="BJ44" s="65">
        <f t="shared" ref="BJ44:BJ60" si="87">EXP(-$AW44)*POWER($AW44,5)/FACT(5)</f>
        <v>1.4630184009772816E-19</v>
      </c>
    </row>
    <row r="45" spans="1:62" x14ac:dyDescent="0.3">
      <c r="A45" s="57"/>
      <c r="B45" s="62">
        <f t="shared" ref="B45:B60" si="88">ROUNDUP(1.84*($E$6/$P$13),0)</f>
        <v>8884</v>
      </c>
      <c r="C45" s="63">
        <v>60</v>
      </c>
      <c r="D45" s="64">
        <f t="shared" ref="D45:D60" si="89">((C45^2)*3.1428)/1000000</f>
        <v>1.1314080000000001E-2</v>
      </c>
      <c r="E45" s="65">
        <f t="shared" si="55"/>
        <v>2.8767683663423013E-2</v>
      </c>
      <c r="F45" s="65">
        <f t="shared" ref="F45:F60" si="90">1*E45</f>
        <v>2.8767683663423013E-2</v>
      </c>
      <c r="G45" s="65">
        <f t="shared" ref="G45:G60" si="91">1*($E45-($E45*0.78))</f>
        <v>6.328890405953063E-3</v>
      </c>
      <c r="H45" s="65">
        <f t="shared" si="56"/>
        <v>0.97164216659705116</v>
      </c>
      <c r="I45" s="65">
        <f t="shared" si="57"/>
        <v>2.8357833402180732E-2</v>
      </c>
      <c r="J45" s="65"/>
      <c r="K45" s="90">
        <f t="shared" ref="K45:K59" si="92">SUM(M45,O45,Q45,S45,U45)</f>
        <v>6.308905162765872E-3</v>
      </c>
      <c r="L45" s="65">
        <f t="shared" si="58"/>
        <v>2.7951894482706931E-2</v>
      </c>
      <c r="M45" s="65">
        <f t="shared" si="59"/>
        <v>6.2889620365963661E-3</v>
      </c>
      <c r="N45" s="65">
        <f t="shared" si="60"/>
        <v>4.0205562913594604E-4</v>
      </c>
      <c r="O45" s="65">
        <f t="shared" si="61"/>
        <v>1.990107574840889E-5</v>
      </c>
      <c r="P45" s="65">
        <f t="shared" si="62"/>
        <v>3.8554030513604715E-6</v>
      </c>
      <c r="Q45" s="65">
        <f t="shared" si="63"/>
        <v>4.1983909124083393E-8</v>
      </c>
      <c r="R45" s="65">
        <f t="shared" si="64"/>
        <v>2.7727753844133473E-8</v>
      </c>
      <c r="S45" s="65">
        <f t="shared" si="65"/>
        <v>6.6427889914954182E-11</v>
      </c>
      <c r="T45" s="65">
        <f t="shared" si="66"/>
        <v>1.5953265025705864E-10</v>
      </c>
      <c r="U45" s="65">
        <f t="shared" si="67"/>
        <v>8.4082967034091964E-14</v>
      </c>
      <c r="V45" s="68"/>
      <c r="W45" s="62">
        <f t="shared" si="68"/>
        <v>2540</v>
      </c>
      <c r="X45" s="63">
        <v>60</v>
      </c>
      <c r="Y45" s="62">
        <f t="shared" si="69"/>
        <v>1.1314080000000001E-2</v>
      </c>
      <c r="Z45" s="65">
        <f t="shared" ref="Z45:Z60" si="93">W45/(839/$Y45)</f>
        <v>3.425239952324196E-2</v>
      </c>
      <c r="AA45" s="65">
        <f t="shared" ref="AA45:AA60" si="94">1*$Z45</f>
        <v>3.425239952324196E-2</v>
      </c>
      <c r="AB45" s="65">
        <f t="shared" ref="AB45:AB60" si="95">1*($Z45-($Z45*0.78))</f>
        <v>7.5355278951132303E-3</v>
      </c>
      <c r="AC45" s="65">
        <f t="shared" si="70"/>
        <v>0.96632757323593654</v>
      </c>
      <c r="AD45" s="65">
        <f t="shared" ref="AD45:AD60" si="96">1-AC45</f>
        <v>3.3672426764063457E-2</v>
      </c>
      <c r="AE45" s="65">
        <f t="shared" ref="AE45:AE60" si="97">EXP(-AB45)</f>
        <v>0.9924927930129025</v>
      </c>
      <c r="AF45" s="65">
        <f t="shared" ref="AF45:AF60" si="98">1-AE45</f>
        <v>7.5072069870975033E-3</v>
      </c>
      <c r="AG45" s="154">
        <f t="shared" ref="AG45:AG60" si="99">EXP(-$AA45)*POWER($AA45,1)</f>
        <v>3.3099038108802152E-2</v>
      </c>
      <c r="AH45" s="154">
        <f t="shared" ref="AH45:AH60" si="100">EXP(-$AB45)*POWER($AB45,1)</f>
        <v>7.4789571274475677E-3</v>
      </c>
      <c r="AI45" s="154">
        <f t="shared" si="71"/>
        <v>5.6686073856885113E-4</v>
      </c>
      <c r="AJ45" s="154">
        <f t="shared" ref="AJ45:AJ60" si="101">EXP(-$AB45)*POWER($AB45,2)/FACT(2)</f>
        <v>2.8178945030118532E-5</v>
      </c>
      <c r="AK45" s="154">
        <f t="shared" si="72"/>
        <v>6.4721134971667676E-6</v>
      </c>
      <c r="AL45" s="154">
        <f t="shared" ref="AL45:AL60" si="102">EXP(-$AB45)*POWER($AB45,3)/FACT(3)</f>
        <v>7.0781075443106835E-8</v>
      </c>
      <c r="AM45" s="154">
        <f t="shared" si="73"/>
        <v>5.5421354316180694E-8</v>
      </c>
      <c r="AN45" s="154">
        <f t="shared" ref="AN45:AN60" si="103">EXP(-$AB45)*POWER($AB45,4)/FACT(4)</f>
        <v>1.3334319211191142E-10</v>
      </c>
      <c r="AO45" s="154">
        <f t="shared" si="74"/>
        <v>3.796628740313943E-10</v>
      </c>
      <c r="AP45" s="154">
        <f t="shared" ref="AP45:AP60" si="104">EXP(-$AB45)*POWER($AB45,5)/FACT(5)</f>
        <v>2.0096226875655018E-13</v>
      </c>
      <c r="AQ45" s="68"/>
      <c r="AR45" s="62">
        <f t="shared" ref="AR45:AR60" si="105">ROUNDUP($H$5/$P$13,0)</f>
        <v>1044</v>
      </c>
      <c r="AS45" s="63">
        <v>60</v>
      </c>
      <c r="AT45" s="64">
        <f t="shared" si="75"/>
        <v>1.1314080000000001E-2</v>
      </c>
      <c r="AU45" s="65">
        <f t="shared" si="76"/>
        <v>8.1014399999999997E-3</v>
      </c>
      <c r="AV45" s="65">
        <f t="shared" ref="AV45:AV60" si="106">1*AU45</f>
        <v>8.1014399999999997E-3</v>
      </c>
      <c r="AW45" s="65">
        <f t="shared" ref="AW45:AW59" si="107">1*($AU45-($AU45*0.78))</f>
        <v>1.7823167999999993E-3</v>
      </c>
      <c r="AX45" s="65">
        <f t="shared" si="77"/>
        <v>0.99193128822348764</v>
      </c>
      <c r="AY45" s="65">
        <f t="shared" ref="AY45:AZ58" si="108">SUM(BA45,BC45,BE45,BG45,BI45)</f>
        <v>8.0687117765119217E-3</v>
      </c>
      <c r="AZ45" s="65">
        <f t="shared" si="108"/>
        <v>1.7807294166256248E-3</v>
      </c>
      <c r="BA45" s="65">
        <f t="shared" si="78"/>
        <v>8.0360718156652911E-3</v>
      </c>
      <c r="BB45" s="65">
        <f t="shared" si="79"/>
        <v>1.7791429760444933E-3</v>
      </c>
      <c r="BC45" s="65">
        <f t="shared" si="80"/>
        <v>3.2551876825151705E-5</v>
      </c>
      <c r="BD45" s="65">
        <f t="shared" si="81"/>
        <v>1.5854982079030484E-6</v>
      </c>
      <c r="BE45" s="65">
        <f t="shared" si="82"/>
        <v>8.7905692328785673E-8</v>
      </c>
      <c r="BF45" s="65">
        <f t="shared" si="83"/>
        <v>9.4195336410516494E-10</v>
      </c>
      <c r="BG45" s="65">
        <f t="shared" si="84"/>
        <v>1.7804067301502931E-10</v>
      </c>
      <c r="BH45" s="65">
        <f t="shared" si="85"/>
        <v>4.19714826415288E-13</v>
      </c>
      <c r="BI45" s="65">
        <f t="shared" si="86"/>
        <v>2.8847716599817582E-13</v>
      </c>
      <c r="BJ45" s="65">
        <f t="shared" si="87"/>
        <v>1.4961295726581029E-16</v>
      </c>
    </row>
    <row r="46" spans="1:62" x14ac:dyDescent="0.3">
      <c r="A46" s="76"/>
      <c r="B46" s="62">
        <f t="shared" si="88"/>
        <v>8884</v>
      </c>
      <c r="C46" s="73">
        <v>90</v>
      </c>
      <c r="D46" s="64">
        <f t="shared" si="89"/>
        <v>2.5456679999999999E-2</v>
      </c>
      <c r="E46" s="65">
        <f t="shared" si="55"/>
        <v>6.4727288242701769E-2</v>
      </c>
      <c r="F46" s="65">
        <f t="shared" si="90"/>
        <v>6.4727288242701769E-2</v>
      </c>
      <c r="G46" s="65">
        <f t="shared" si="91"/>
        <v>1.4240003413394389E-2</v>
      </c>
      <c r="H46" s="65">
        <f t="shared" si="56"/>
        <v>0.93732304754086726</v>
      </c>
      <c r="I46" s="74">
        <f t="shared" si="57"/>
        <v>6.2676952362502966E-2</v>
      </c>
      <c r="J46" s="74"/>
      <c r="K46" s="90">
        <f t="shared" si="92"/>
        <v>1.4139094115544391E-2</v>
      </c>
      <c r="L46" s="65">
        <f t="shared" si="58"/>
        <v>6.067037907470537E-2</v>
      </c>
      <c r="M46" s="65">
        <f t="shared" si="59"/>
        <v>1.4038662664926571E-2</v>
      </c>
      <c r="N46" s="65">
        <f t="shared" si="60"/>
        <v>1.9635145570812179E-3</v>
      </c>
      <c r="O46" s="65">
        <f t="shared" si="61"/>
        <v>9.9955302134023354E-5</v>
      </c>
      <c r="P46" s="65">
        <f t="shared" si="62"/>
        <v>4.2364324234978963E-5</v>
      </c>
      <c r="Q46" s="65">
        <f t="shared" si="63"/>
        <v>4.7445461452512001E-7</v>
      </c>
      <c r="R46" s="65">
        <f t="shared" si="64"/>
        <v>6.8553195649118977E-7</v>
      </c>
      <c r="S46" s="65">
        <f t="shared" si="65"/>
        <v>1.689058832584607E-9</v>
      </c>
      <c r="T46" s="65">
        <f t="shared" si="66"/>
        <v>8.8745249094777056E-9</v>
      </c>
      <c r="U46" s="65">
        <f t="shared" si="67"/>
        <v>4.8104407082857485E-12</v>
      </c>
      <c r="V46" s="68"/>
      <c r="W46" s="62">
        <f t="shared" si="68"/>
        <v>2540</v>
      </c>
      <c r="X46" s="63">
        <v>90</v>
      </c>
      <c r="Y46" s="62">
        <f t="shared" si="69"/>
        <v>2.5456679999999999E-2</v>
      </c>
      <c r="Z46" s="65">
        <f t="shared" si="93"/>
        <v>7.7067898927294404E-2</v>
      </c>
      <c r="AA46" s="65">
        <f t="shared" si="94"/>
        <v>7.7067898927294404E-2</v>
      </c>
      <c r="AB46" s="65">
        <f t="shared" si="95"/>
        <v>1.6954937764004765E-2</v>
      </c>
      <c r="AC46" s="65">
        <f t="shared" si="70"/>
        <v>0.92582698881289294</v>
      </c>
      <c r="AD46" s="65">
        <f t="shared" si="96"/>
        <v>7.4173011187107063E-2</v>
      </c>
      <c r="AE46" s="65">
        <f t="shared" si="97"/>
        <v>0.98318798828584719</v>
      </c>
      <c r="AF46" s="65">
        <f t="shared" si="98"/>
        <v>1.6812011714152808E-2</v>
      </c>
      <c r="AG46" s="154">
        <f t="shared" si="99"/>
        <v>7.1351540797993357E-2</v>
      </c>
      <c r="AH46" s="154">
        <f t="shared" si="100"/>
        <v>1.6669891151703586E-2</v>
      </c>
      <c r="AI46" s="154">
        <f t="shared" si="71"/>
        <v>2.7494566672632377E-3</v>
      </c>
      <c r="AJ46" s="154">
        <f t="shared" si="101"/>
        <v>1.4131848350493401E-4</v>
      </c>
      <c r="AK46" s="154">
        <f t="shared" si="72"/>
        <v>7.06316161792063E-5</v>
      </c>
      <c r="AL46" s="154">
        <f t="shared" si="102"/>
        <v>7.9868203090989667E-7</v>
      </c>
      <c r="AM46" s="154">
        <f t="shared" si="73"/>
        <v>1.3608575641926309E-6</v>
      </c>
      <c r="AN46" s="154">
        <f t="shared" si="103"/>
        <v>3.3854010318265572E-9</v>
      </c>
      <c r="AO46" s="154">
        <f t="shared" si="74"/>
        <v>2.0975686642328345E-8</v>
      </c>
      <c r="AP46" s="154">
        <f t="shared" si="104"/>
        <v>1.1479852760163359E-11</v>
      </c>
      <c r="AQ46" s="68"/>
      <c r="AR46" s="62">
        <f t="shared" si="105"/>
        <v>1044</v>
      </c>
      <c r="AS46" s="63">
        <v>90</v>
      </c>
      <c r="AT46" s="64">
        <f t="shared" si="75"/>
        <v>2.5456679999999999E-2</v>
      </c>
      <c r="AU46" s="65">
        <f t="shared" si="76"/>
        <v>1.822824E-2</v>
      </c>
      <c r="AV46" s="65">
        <f t="shared" si="106"/>
        <v>1.822824E-2</v>
      </c>
      <c r="AW46" s="65">
        <f t="shared" si="107"/>
        <v>4.0102127999999994E-3</v>
      </c>
      <c r="AX46" s="65">
        <f t="shared" si="77"/>
        <v>0.98193688950443081</v>
      </c>
      <c r="AY46" s="65">
        <f t="shared" si="108"/>
        <v>1.8063110495519064E-2</v>
      </c>
      <c r="AZ46" s="65">
        <f t="shared" si="108"/>
        <v>4.0021826344598154E-3</v>
      </c>
      <c r="BA46" s="65">
        <f t="shared" si="78"/>
        <v>1.7898981286740244E-2</v>
      </c>
      <c r="BB46" s="65">
        <f t="shared" si="79"/>
        <v>3.9941631959713505E-3</v>
      </c>
      <c r="BC46" s="65">
        <f t="shared" si="80"/>
        <v>1.6313346332510499E-4</v>
      </c>
      <c r="BD46" s="65">
        <f t="shared" si="81"/>
        <v>8.0087221868866087E-6</v>
      </c>
      <c r="BE46" s="65">
        <f t="shared" si="82"/>
        <v>9.9121197384040412E-7</v>
      </c>
      <c r="BF46" s="65">
        <f t="shared" si="83"/>
        <v>1.0705560075165554E-8</v>
      </c>
      <c r="BG46" s="65">
        <f t="shared" si="84"/>
        <v>4.5170124375091516E-9</v>
      </c>
      <c r="BH46" s="65">
        <f t="shared" si="85"/>
        <v>1.0732893511149464E-11</v>
      </c>
      <c r="BI46" s="65">
        <f t="shared" si="86"/>
        <v>1.6467437358780362E-11</v>
      </c>
      <c r="BJ46" s="65">
        <f t="shared" si="87"/>
        <v>8.6082373878897049E-15</v>
      </c>
    </row>
    <row r="47" spans="1:62" x14ac:dyDescent="0.3">
      <c r="A47" s="38"/>
      <c r="B47" s="62">
        <f t="shared" si="88"/>
        <v>8884</v>
      </c>
      <c r="C47" s="63">
        <v>120</v>
      </c>
      <c r="D47" s="64">
        <f t="shared" si="89"/>
        <v>4.5256320000000003E-2</v>
      </c>
      <c r="E47" s="65">
        <f t="shared" si="55"/>
        <v>0.11507073465369205</v>
      </c>
      <c r="F47" s="65">
        <f t="shared" si="90"/>
        <v>0.11507073465369205</v>
      </c>
      <c r="G47" s="65">
        <f t="shared" si="91"/>
        <v>2.5315561623812252E-2</v>
      </c>
      <c r="H47" s="65">
        <f t="shared" si="56"/>
        <v>0.89130309566120347</v>
      </c>
      <c r="I47" s="65">
        <f t="shared" si="57"/>
        <v>0.10869690141689387</v>
      </c>
      <c r="J47" s="65"/>
      <c r="K47" s="90">
        <f t="shared" si="92"/>
        <v>2.4997809795716582E-2</v>
      </c>
      <c r="L47" s="65">
        <f t="shared" si="58"/>
        <v>0.10256290201684465</v>
      </c>
      <c r="M47" s="65">
        <f t="shared" si="59"/>
        <v>2.4682728029459394E-2</v>
      </c>
      <c r="N47" s="65">
        <f t="shared" si="60"/>
        <v>5.9009942416464742E-3</v>
      </c>
      <c r="O47" s="65">
        <f t="shared" si="61"/>
        <v>3.1242856123678866E-4</v>
      </c>
      <c r="P47" s="65">
        <f t="shared" si="62"/>
        <v>2.2634391419115536E-4</v>
      </c>
      <c r="Q47" s="65">
        <f t="shared" si="63"/>
        <v>2.6364348316763076E-6</v>
      </c>
      <c r="R47" s="65">
        <f t="shared" si="64"/>
        <v>6.5113901225921213E-6</v>
      </c>
      <c r="S47" s="65">
        <f t="shared" si="65"/>
        <v>1.6685707112116663E-8</v>
      </c>
      <c r="T47" s="65">
        <f t="shared" si="66"/>
        <v>1.498540890046939E-7</v>
      </c>
      <c r="U47" s="65">
        <f t="shared" si="67"/>
        <v>8.4481609326734358E-11</v>
      </c>
      <c r="V47" s="38"/>
      <c r="W47" s="62">
        <f t="shared" si="68"/>
        <v>2540</v>
      </c>
      <c r="X47" s="63">
        <v>120</v>
      </c>
      <c r="Y47" s="62">
        <f t="shared" si="69"/>
        <v>4.5256320000000003E-2</v>
      </c>
      <c r="Z47" s="65">
        <f t="shared" si="93"/>
        <v>0.13700959809296784</v>
      </c>
      <c r="AA47" s="65">
        <f t="shared" si="94"/>
        <v>0.13700959809296784</v>
      </c>
      <c r="AB47" s="65">
        <f t="shared" si="95"/>
        <v>3.0142111580452921E-2</v>
      </c>
      <c r="AC47" s="65">
        <f t="shared" si="70"/>
        <v>0.87196185692097816</v>
      </c>
      <c r="AD47" s="65">
        <f t="shared" si="96"/>
        <v>0.12803814307902184</v>
      </c>
      <c r="AE47" s="65">
        <f t="shared" si="97"/>
        <v>0.97030763179894197</v>
      </c>
      <c r="AF47" s="65">
        <f t="shared" si="98"/>
        <v>2.9692368201058028E-2</v>
      </c>
      <c r="AG47" s="154">
        <f t="shared" si="99"/>
        <v>0.11946714356914115</v>
      </c>
      <c r="AH47" s="154">
        <f t="shared" si="100"/>
        <v>2.9247120905048739E-2</v>
      </c>
      <c r="AI47" s="154">
        <f t="shared" si="71"/>
        <v>8.1840726628614573E-3</v>
      </c>
      <c r="AJ47" s="154">
        <f t="shared" si="101"/>
        <v>4.4078499086348816E-4</v>
      </c>
      <c r="AK47" s="154">
        <f t="shared" si="72"/>
        <v>3.7376550210076447E-4</v>
      </c>
      <c r="AL47" s="154">
        <f t="shared" si="102"/>
        <v>4.4287301258653936E-6</v>
      </c>
      <c r="AM47" s="154">
        <f t="shared" si="73"/>
        <v>1.2802365305960514E-5</v>
      </c>
      <c r="AN47" s="154">
        <f t="shared" si="103"/>
        <v>3.3372819403387003E-8</v>
      </c>
      <c r="AO47" s="154">
        <f t="shared" si="74"/>
        <v>3.5080938504180102E-7</v>
      </c>
      <c r="AP47" s="154">
        <f t="shared" si="104"/>
        <v>2.0118544924223902E-10</v>
      </c>
      <c r="AQ47" s="38"/>
      <c r="AR47" s="62">
        <f t="shared" si="105"/>
        <v>1044</v>
      </c>
      <c r="AS47" s="63">
        <v>120</v>
      </c>
      <c r="AT47" s="64">
        <f t="shared" si="75"/>
        <v>4.5256320000000003E-2</v>
      </c>
      <c r="AU47" s="65">
        <f t="shared" si="76"/>
        <v>3.2405759999999999E-2</v>
      </c>
      <c r="AV47" s="65">
        <f t="shared" si="106"/>
        <v>3.2405759999999999E-2</v>
      </c>
      <c r="AW47" s="65">
        <f t="shared" si="107"/>
        <v>7.1292671999999974E-3</v>
      </c>
      <c r="AX47" s="65">
        <f t="shared" si="77"/>
        <v>0.96811368056570279</v>
      </c>
      <c r="AY47" s="65">
        <f t="shared" si="108"/>
        <v>3.1886319432732783E-2</v>
      </c>
      <c r="AZ47" s="65">
        <f t="shared" si="108"/>
        <v>7.1039142596680486E-3</v>
      </c>
      <c r="BA47" s="65">
        <f t="shared" si="78"/>
        <v>3.1372459585128826E-2</v>
      </c>
      <c r="BB47" s="65">
        <f t="shared" si="79"/>
        <v>7.0786214970769319E-3</v>
      </c>
      <c r="BC47" s="65">
        <f t="shared" si="80"/>
        <v>5.0832419796269213E-4</v>
      </c>
      <c r="BD47" s="65">
        <f t="shared" si="81"/>
        <v>2.5232692030162726E-5</v>
      </c>
      <c r="BE47" s="65">
        <f t="shared" si="82"/>
        <v>5.4908773204571633E-6</v>
      </c>
      <c r="BF47" s="65">
        <f t="shared" si="83"/>
        <v>5.9963534552780144E-8</v>
      </c>
      <c r="BG47" s="65">
        <f t="shared" si="84"/>
        <v>4.4484013159044475E-8</v>
      </c>
      <c r="BH47" s="65">
        <f t="shared" si="85"/>
        <v>1.0687401502080052E-10</v>
      </c>
      <c r="BI47" s="65">
        <f t="shared" si="86"/>
        <v>2.8830765085376737E-10</v>
      </c>
      <c r="BJ47" s="65">
        <f t="shared" si="87"/>
        <v>1.5238668196402004E-13</v>
      </c>
    </row>
    <row r="48" spans="1:62" x14ac:dyDescent="0.3">
      <c r="A48" s="91"/>
      <c r="B48" s="62">
        <f t="shared" si="88"/>
        <v>8884</v>
      </c>
      <c r="C48" s="63">
        <v>150</v>
      </c>
      <c r="D48" s="64">
        <f t="shared" si="89"/>
        <v>7.0712999999999998E-2</v>
      </c>
      <c r="E48" s="65">
        <f t="shared" si="55"/>
        <v>0.17979802289639379</v>
      </c>
      <c r="F48" s="65">
        <f t="shared" si="90"/>
        <v>0.17979802289639379</v>
      </c>
      <c r="G48" s="65">
        <f t="shared" si="91"/>
        <v>3.9555565037206641E-2</v>
      </c>
      <c r="H48" s="65">
        <f t="shared" si="56"/>
        <v>0.83543893390776836</v>
      </c>
      <c r="I48" s="65">
        <f t="shared" si="57"/>
        <v>0.16456102586175275</v>
      </c>
      <c r="J48" s="65"/>
      <c r="K48" s="90">
        <f t="shared" si="92"/>
        <v>3.8783457521097978E-2</v>
      </c>
      <c r="L48" s="65">
        <f t="shared" si="58"/>
        <v>0.15021026856728775</v>
      </c>
      <c r="M48" s="65">
        <f t="shared" si="59"/>
        <v>3.8021463460659689E-2</v>
      </c>
      <c r="N48" s="65">
        <f t="shared" si="60"/>
        <v>1.3503754653567332E-2</v>
      </c>
      <c r="O48" s="65">
        <f t="shared" si="61"/>
        <v>7.5198023536395008E-4</v>
      </c>
      <c r="P48" s="65">
        <f t="shared" si="62"/>
        <v>8.0931612946312786E-4</v>
      </c>
      <c r="Q48" s="65">
        <f t="shared" si="63"/>
        <v>9.9150010355442284E-6</v>
      </c>
      <c r="R48" s="65">
        <f t="shared" si="64"/>
        <v>3.6378359993908066E-5</v>
      </c>
      <c r="S48" s="65">
        <f t="shared" si="65"/>
        <v>9.8048367076360245E-8</v>
      </c>
      <c r="T48" s="65">
        <f t="shared" si="66"/>
        <v>1.3081514406235876E-6</v>
      </c>
      <c r="U48" s="65">
        <f t="shared" si="67"/>
        <v>7.7567171213617557E-10</v>
      </c>
      <c r="V48" s="76"/>
      <c r="W48" s="62">
        <f t="shared" si="68"/>
        <v>2540</v>
      </c>
      <c r="X48" s="63">
        <v>150</v>
      </c>
      <c r="Y48" s="62">
        <f t="shared" si="69"/>
        <v>7.0712999999999998E-2</v>
      </c>
      <c r="Z48" s="65">
        <f t="shared" si="93"/>
        <v>0.21407749702026221</v>
      </c>
      <c r="AA48" s="65">
        <f t="shared" si="94"/>
        <v>0.21407749702026221</v>
      </c>
      <c r="AB48" s="65">
        <f t="shared" si="95"/>
        <v>4.7097049344457687E-2</v>
      </c>
      <c r="AC48" s="65">
        <f t="shared" si="70"/>
        <v>0.80728582035284779</v>
      </c>
      <c r="AD48" s="65">
        <f t="shared" si="96"/>
        <v>0.19271417964715221</v>
      </c>
      <c r="AE48" s="65">
        <f t="shared" si="97"/>
        <v>0.95399480852680629</v>
      </c>
      <c r="AF48" s="65">
        <f t="shared" si="98"/>
        <v>4.6005191473193707E-2</v>
      </c>
      <c r="AG48" s="154">
        <f t="shared" si="99"/>
        <v>0.17282172780108671</v>
      </c>
      <c r="AH48" s="154">
        <f t="shared" si="100"/>
        <v>4.4930340571543458E-2</v>
      </c>
      <c r="AI48" s="154">
        <f t="shared" si="71"/>
        <v>1.8498621459186855E-2</v>
      </c>
      <c r="AJ48" s="154">
        <f t="shared" si="101"/>
        <v>1.0580432334806357E-3</v>
      </c>
      <c r="AK48" s="154">
        <f t="shared" si="72"/>
        <v>1.320046193436011E-3</v>
      </c>
      <c r="AL48" s="154">
        <f t="shared" si="102"/>
        <v>1.6610238125269024E-5</v>
      </c>
      <c r="AM48" s="154">
        <f t="shared" si="73"/>
        <v>7.064804626047652E-5</v>
      </c>
      <c r="AN48" s="154">
        <f t="shared" si="103"/>
        <v>1.9557330115224687E-7</v>
      </c>
      <c r="AO48" s="154">
        <f t="shared" si="74"/>
        <v>3.024831382562902E-6</v>
      </c>
      <c r="AP48" s="154">
        <f t="shared" si="104"/>
        <v>1.842185082965171E-9</v>
      </c>
      <c r="AQ48" s="76"/>
      <c r="AR48" s="62">
        <f t="shared" si="105"/>
        <v>1044</v>
      </c>
      <c r="AS48" s="63">
        <v>150</v>
      </c>
      <c r="AT48" s="64">
        <f t="shared" si="75"/>
        <v>7.0712999999999998E-2</v>
      </c>
      <c r="AU48" s="65">
        <f t="shared" si="76"/>
        <v>5.0633999999999998E-2</v>
      </c>
      <c r="AV48" s="65">
        <f t="shared" si="106"/>
        <v>5.0633999999999998E-2</v>
      </c>
      <c r="AW48" s="65">
        <f t="shared" si="107"/>
        <v>1.113948E-2</v>
      </c>
      <c r="AX48" s="65">
        <f t="shared" si="77"/>
        <v>0.95062653618137238</v>
      </c>
      <c r="AY48" s="65">
        <f t="shared" si="108"/>
        <v>4.9373463796215655E-2</v>
      </c>
      <c r="AZ48" s="65">
        <f t="shared" si="108"/>
        <v>1.1077665731838691E-2</v>
      </c>
      <c r="BA48" s="65">
        <f t="shared" si="78"/>
        <v>4.8134024033007608E-2</v>
      </c>
      <c r="BB48" s="65">
        <f t="shared" si="79"/>
        <v>1.1016080564133468E-2</v>
      </c>
      <c r="BC48" s="65">
        <f t="shared" si="80"/>
        <v>1.2186090864436535E-3</v>
      </c>
      <c r="BD48" s="65">
        <f t="shared" si="81"/>
        <v>6.1356704561276739E-5</v>
      </c>
      <c r="BE48" s="65">
        <f t="shared" si="82"/>
        <v>2.0567684160995985E-5</v>
      </c>
      <c r="BF48" s="65">
        <f t="shared" si="83"/>
        <v>2.2782726110875033E-7</v>
      </c>
      <c r="BG48" s="65">
        <f t="shared" si="84"/>
        <v>2.6035602995196766E-7</v>
      </c>
      <c r="BH48" s="65">
        <f t="shared" si="85"/>
        <v>6.3446930464392551E-10</v>
      </c>
      <c r="BI48" s="65">
        <f t="shared" si="86"/>
        <v>2.6365734441175857E-9</v>
      </c>
      <c r="BJ48" s="65">
        <f t="shared" si="87"/>
        <v>1.4135316259389831E-12</v>
      </c>
    </row>
    <row r="49" spans="1:62" x14ac:dyDescent="0.3">
      <c r="A49" s="91"/>
      <c r="B49" s="62">
        <f t="shared" si="88"/>
        <v>8884</v>
      </c>
      <c r="C49" s="63">
        <v>180</v>
      </c>
      <c r="D49" s="64">
        <f t="shared" si="89"/>
        <v>0.10182672</v>
      </c>
      <c r="E49" s="65">
        <f t="shared" si="55"/>
        <v>0.25890915297080708</v>
      </c>
      <c r="F49" s="65">
        <f t="shared" si="90"/>
        <v>0.25890915297080708</v>
      </c>
      <c r="G49" s="65">
        <f t="shared" si="91"/>
        <v>5.6960013653577557E-2</v>
      </c>
      <c r="H49" s="65">
        <f t="shared" si="56"/>
        <v>0.77189314405750442</v>
      </c>
      <c r="I49" s="65">
        <f t="shared" si="57"/>
        <v>0.22810652066974871</v>
      </c>
      <c r="J49" s="65"/>
      <c r="K49" s="90">
        <f t="shared" si="92"/>
        <v>5.5368158967446145E-2</v>
      </c>
      <c r="L49" s="65">
        <f t="shared" si="58"/>
        <v>0.19985020011190163</v>
      </c>
      <c r="M49" s="65">
        <f t="shared" si="59"/>
        <v>5.3806242560245222E-2</v>
      </c>
      <c r="N49" s="65">
        <f t="shared" si="60"/>
        <v>2.5871523016009371E-2</v>
      </c>
      <c r="O49" s="65">
        <f t="shared" si="61"/>
        <v>1.5324021554396368E-3</v>
      </c>
      <c r="P49" s="65">
        <f t="shared" si="62"/>
        <v>2.2327913700465754E-3</v>
      </c>
      <c r="Q49" s="65">
        <f t="shared" si="63"/>
        <v>2.909521589887113E-5</v>
      </c>
      <c r="R49" s="65">
        <f t="shared" si="64"/>
        <v>1.4452253059482167E-4</v>
      </c>
      <c r="S49" s="65">
        <f t="shared" si="65"/>
        <v>4.1431597371337154E-7</v>
      </c>
      <c r="T49" s="65">
        <f t="shared" si="66"/>
        <v>7.4836411963005651E-6</v>
      </c>
      <c r="U49" s="65">
        <f t="shared" si="67"/>
        <v>4.7198887039217852E-9</v>
      </c>
      <c r="V49" s="76"/>
      <c r="W49" s="62">
        <f t="shared" si="68"/>
        <v>2540</v>
      </c>
      <c r="X49" s="63">
        <v>180</v>
      </c>
      <c r="Y49" s="62">
        <f t="shared" si="69"/>
        <v>0.10182672</v>
      </c>
      <c r="Z49" s="65">
        <f t="shared" si="93"/>
        <v>0.30827159570917761</v>
      </c>
      <c r="AA49" s="65">
        <f t="shared" si="94"/>
        <v>0.30827159570917761</v>
      </c>
      <c r="AB49" s="65">
        <f t="shared" si="95"/>
        <v>6.7819751056019062E-2</v>
      </c>
      <c r="AC49" s="65">
        <f t="shared" si="70"/>
        <v>0.73471574526486583</v>
      </c>
      <c r="AD49" s="65">
        <f t="shared" si="96"/>
        <v>0.26528425473513417</v>
      </c>
      <c r="AE49" s="65">
        <f t="shared" si="97"/>
        <v>0.93442888821880365</v>
      </c>
      <c r="AF49" s="65">
        <f t="shared" si="98"/>
        <v>6.5571111781196345E-2</v>
      </c>
      <c r="AG49" s="154">
        <f t="shared" si="99"/>
        <v>0.22649199518545785</v>
      </c>
      <c r="AH49" s="154">
        <f t="shared" si="100"/>
        <v>6.3372734578551929E-2</v>
      </c>
      <c r="AI49" s="154">
        <f t="shared" si="71"/>
        <v>3.4910524385588233E-2</v>
      </c>
      <c r="AJ49" s="154">
        <f t="shared" si="101"/>
        <v>2.1489615414282816E-3</v>
      </c>
      <c r="AK49" s="154">
        <f t="shared" si="72"/>
        <v>3.5873076864631468E-3</v>
      </c>
      <c r="AL49" s="154">
        <f t="shared" si="102"/>
        <v>4.8580678922875011E-5</v>
      </c>
      <c r="AM49" s="154">
        <f t="shared" si="73"/>
        <v>2.7646626620144815E-4</v>
      </c>
      <c r="AN49" s="154">
        <f t="shared" si="103"/>
        <v>8.2368238767044395E-7</v>
      </c>
      <c r="AO49" s="154">
        <f t="shared" si="74"/>
        <v>1.7045339408335737E-5</v>
      </c>
      <c r="AP49" s="154">
        <f t="shared" si="104"/>
        <v>1.1172386896207379E-8</v>
      </c>
      <c r="AQ49" s="76"/>
      <c r="AR49" s="62">
        <f t="shared" si="105"/>
        <v>1044</v>
      </c>
      <c r="AS49" s="73">
        <v>180</v>
      </c>
      <c r="AT49" s="64">
        <f t="shared" si="75"/>
        <v>0.10182672</v>
      </c>
      <c r="AU49" s="65">
        <f t="shared" si="76"/>
        <v>7.2912959999999999E-2</v>
      </c>
      <c r="AV49" s="65">
        <f t="shared" si="106"/>
        <v>7.2912959999999999E-2</v>
      </c>
      <c r="AW49" s="65">
        <f t="shared" si="107"/>
        <v>1.6040851199999998E-2</v>
      </c>
      <c r="AX49" s="65">
        <f t="shared" si="77"/>
        <v>0.92968174600345044</v>
      </c>
      <c r="AY49" s="74">
        <f t="shared" si="108"/>
        <v>7.0318253800497429E-2</v>
      </c>
      <c r="AZ49" s="65">
        <f t="shared" si="108"/>
        <v>1.5912881905513827E-2</v>
      </c>
      <c r="BA49" s="65">
        <f t="shared" si="78"/>
        <v>6.7785847959079742E-2</v>
      </c>
      <c r="BB49" s="65">
        <f t="shared" si="79"/>
        <v>1.5785595029190105E-2</v>
      </c>
      <c r="BC49" s="65">
        <f t="shared" si="80"/>
        <v>2.4712334104032316E-3</v>
      </c>
      <c r="BD49" s="65">
        <f t="shared" si="81"/>
        <v>1.2660719048334903E-4</v>
      </c>
      <c r="BE49" s="65">
        <f t="shared" si="82"/>
        <v>6.0061647601131466E-5</v>
      </c>
      <c r="BF49" s="65">
        <f t="shared" si="83"/>
        <v>6.7696236779781907E-7</v>
      </c>
      <c r="BG49" s="65">
        <f t="shared" si="84"/>
        <v>1.0948181272688486E-6</v>
      </c>
      <c r="BH49" s="65">
        <f t="shared" si="85"/>
        <v>2.7147631524611217E-9</v>
      </c>
      <c r="BI49" s="65">
        <f t="shared" si="86"/>
        <v>1.5965286064165693E-8</v>
      </c>
      <c r="BJ49" s="65">
        <f t="shared" si="87"/>
        <v>8.7094223543743532E-12</v>
      </c>
    </row>
    <row r="50" spans="1:62" x14ac:dyDescent="0.3">
      <c r="A50" s="91"/>
      <c r="B50" s="62">
        <f t="shared" si="88"/>
        <v>8884</v>
      </c>
      <c r="C50" s="63">
        <v>210</v>
      </c>
      <c r="D50" s="64">
        <f t="shared" si="89"/>
        <v>0.13859748</v>
      </c>
      <c r="E50" s="65">
        <f t="shared" si="55"/>
        <v>0.3524041248769319</v>
      </c>
      <c r="F50" s="65">
        <f t="shared" si="90"/>
        <v>0.3524041248769319</v>
      </c>
      <c r="G50" s="65">
        <f t="shared" si="91"/>
        <v>7.7528907472925013E-2</v>
      </c>
      <c r="H50" s="65">
        <f t="shared" si="56"/>
        <v>0.70299596640463358</v>
      </c>
      <c r="I50" s="65">
        <f t="shared" si="57"/>
        <v>0.29700206502617926</v>
      </c>
      <c r="J50" s="65"/>
      <c r="K50" s="90">
        <f t="shared" si="92"/>
        <v>7.4599726691121915E-2</v>
      </c>
      <c r="L50" s="65">
        <f t="shared" si="58"/>
        <v>0.24773867833283791</v>
      </c>
      <c r="M50" s="65">
        <f t="shared" si="59"/>
        <v>7.1745272142902244E-2</v>
      </c>
      <c r="N50" s="65">
        <f t="shared" si="60"/>
        <v>4.3652066068025741E-2</v>
      </c>
      <c r="O50" s="65">
        <f t="shared" si="61"/>
        <v>2.7811662827934465E-3</v>
      </c>
      <c r="P50" s="65">
        <f t="shared" si="62"/>
        <v>5.1277227139242083E-3</v>
      </c>
      <c r="Q50" s="65">
        <f t="shared" si="63"/>
        <v>7.1873594468503972E-5</v>
      </c>
      <c r="R50" s="65">
        <f t="shared" si="64"/>
        <v>4.5175765890300671E-4</v>
      </c>
      <c r="S50" s="65">
        <f t="shared" si="65"/>
        <v>1.3930703138237949E-6</v>
      </c>
      <c r="T50" s="65">
        <f t="shared" si="66"/>
        <v>3.1840252488433115E-5</v>
      </c>
      <c r="U50" s="65">
        <f t="shared" si="67"/>
        <v>2.1600643892744719E-8</v>
      </c>
      <c r="V50" s="76"/>
      <c r="W50" s="62">
        <f t="shared" si="68"/>
        <v>2540</v>
      </c>
      <c r="X50" s="63">
        <v>210</v>
      </c>
      <c r="Y50" s="62">
        <f t="shared" si="69"/>
        <v>0.13859748</v>
      </c>
      <c r="Z50" s="65">
        <f t="shared" si="93"/>
        <v>0.41959189415971393</v>
      </c>
      <c r="AA50" s="65">
        <f t="shared" si="94"/>
        <v>0.41959189415971393</v>
      </c>
      <c r="AB50" s="65">
        <f t="shared" si="95"/>
        <v>9.2310216715137061E-2</v>
      </c>
      <c r="AC50" s="65">
        <f t="shared" si="70"/>
        <v>0.65731501918270641</v>
      </c>
      <c r="AD50" s="65">
        <f t="shared" si="96"/>
        <v>0.34268498081729359</v>
      </c>
      <c r="AE50" s="65">
        <f t="shared" si="97"/>
        <v>0.91182224316515159</v>
      </c>
      <c r="AF50" s="65">
        <f t="shared" si="98"/>
        <v>8.8177756834848409E-2</v>
      </c>
      <c r="AG50" s="154">
        <f t="shared" si="99"/>
        <v>0.27580405395850049</v>
      </c>
      <c r="AH50" s="154">
        <f t="shared" si="100"/>
        <v>8.4170508872257549E-2</v>
      </c>
      <c r="AI50" s="154">
        <f t="shared" si="71"/>
        <v>5.7862572708687582E-2</v>
      </c>
      <c r="AJ50" s="154">
        <f t="shared" si="101"/>
        <v>3.8848989575107308E-3</v>
      </c>
      <c r="AK50" s="154">
        <f t="shared" si="72"/>
        <v>8.092888827930798E-3</v>
      </c>
      <c r="AL50" s="154">
        <f t="shared" si="102"/>
        <v>1.1953862156140854E-4</v>
      </c>
      <c r="AM50" s="154">
        <f t="shared" si="73"/>
        <v>8.4892763813386766E-4</v>
      </c>
      <c r="AN50" s="154">
        <f t="shared" si="103"/>
        <v>2.7586590155405942E-6</v>
      </c>
      <c r="AO50" s="154">
        <f t="shared" si="74"/>
        <v>7.1240631137824351E-5</v>
      </c>
      <c r="AP50" s="154">
        <f t="shared" si="104"/>
        <v>5.0930482313543786E-8</v>
      </c>
      <c r="AQ50" s="76"/>
      <c r="AR50" s="62">
        <f t="shared" si="105"/>
        <v>1044</v>
      </c>
      <c r="AS50" s="63">
        <v>210</v>
      </c>
      <c r="AT50" s="64">
        <f t="shared" si="75"/>
        <v>0.13859748</v>
      </c>
      <c r="AU50" s="65">
        <f t="shared" si="76"/>
        <v>9.9242640000000007E-2</v>
      </c>
      <c r="AV50" s="65">
        <f t="shared" si="106"/>
        <v>9.9242640000000007E-2</v>
      </c>
      <c r="AW50" s="65">
        <f t="shared" si="107"/>
        <v>2.1833380799999996E-2</v>
      </c>
      <c r="AX50" s="65">
        <f t="shared" si="77"/>
        <v>0.90552296527314224</v>
      </c>
      <c r="AY50" s="65">
        <f t="shared" si="108"/>
        <v>9.4477033508017075E-2</v>
      </c>
      <c r="AZ50" s="65">
        <f t="shared" si="108"/>
        <v>2.1596757763583978E-2</v>
      </c>
      <c r="BA50" s="65">
        <f t="shared" si="78"/>
        <v>8.9866489654334969E-2</v>
      </c>
      <c r="BB50" s="65">
        <f t="shared" si="79"/>
        <v>2.1361850563699089E-2</v>
      </c>
      <c r="BC50" s="65">
        <f t="shared" si="80"/>
        <v>4.4592938404144451E-3</v>
      </c>
      <c r="BD50" s="65">
        <f t="shared" si="81"/>
        <v>2.3320070897496839E-4</v>
      </c>
      <c r="BE50" s="65">
        <f t="shared" si="82"/>
        <v>1.4751736441948941E-4</v>
      </c>
      <c r="BF50" s="65">
        <f t="shared" si="83"/>
        <v>1.6971866272934873E-6</v>
      </c>
      <c r="BG50" s="65">
        <f t="shared" si="84"/>
        <v>3.6600031727080494E-6</v>
      </c>
      <c r="BH50" s="65">
        <f t="shared" si="85"/>
        <v>9.2638304805915916E-9</v>
      </c>
      <c r="BI50" s="65">
        <f t="shared" si="86"/>
        <v>7.2645675453584555E-8</v>
      </c>
      <c r="BJ50" s="65">
        <f t="shared" si="87"/>
        <v>4.0452147709880642E-11</v>
      </c>
    </row>
    <row r="51" spans="1:62" x14ac:dyDescent="0.3">
      <c r="A51" s="91"/>
      <c r="B51" s="62">
        <f t="shared" si="88"/>
        <v>8884</v>
      </c>
      <c r="C51" s="73">
        <v>240</v>
      </c>
      <c r="D51" s="64">
        <f t="shared" si="89"/>
        <v>0.18102528000000001</v>
      </c>
      <c r="E51" s="65">
        <f t="shared" si="55"/>
        <v>0.46028293861476821</v>
      </c>
      <c r="F51" s="65">
        <f t="shared" si="90"/>
        <v>0.46028293861476821</v>
      </c>
      <c r="G51" s="65">
        <f t="shared" si="91"/>
        <v>0.10126224649524901</v>
      </c>
      <c r="H51" s="65">
        <f t="shared" si="56"/>
        <v>0.63110505625282987</v>
      </c>
      <c r="I51" s="65">
        <f t="shared" si="57"/>
        <v>0.36888602719516506</v>
      </c>
      <c r="J51" s="65"/>
      <c r="K51" s="92">
        <f t="shared" si="92"/>
        <v>9.6303987930404553E-2</v>
      </c>
      <c r="L51" s="65">
        <f t="shared" si="58"/>
        <v>0.29048688986669113</v>
      </c>
      <c r="M51" s="65">
        <f t="shared" si="59"/>
        <v>9.1510288191924957E-2</v>
      </c>
      <c r="N51" s="65">
        <f t="shared" si="60"/>
        <v>6.6853079648452565E-2</v>
      </c>
      <c r="O51" s="65">
        <f t="shared" si="61"/>
        <v>4.6332686798709905E-3</v>
      </c>
      <c r="P51" s="65">
        <f t="shared" si="62"/>
        <v>1.02571106520123E-2</v>
      </c>
      <c r="Q51" s="65">
        <f t="shared" si="63"/>
        <v>1.5639173171327106E-4</v>
      </c>
      <c r="R51" s="65">
        <f t="shared" si="64"/>
        <v>1.1802932581512658E-3</v>
      </c>
      <c r="S51" s="65">
        <f t="shared" si="65"/>
        <v>3.9591445216420272E-6</v>
      </c>
      <c r="T51" s="65">
        <f t="shared" si="66"/>
        <v>1.0865376985781276E-4</v>
      </c>
      <c r="U51" s="65">
        <f t="shared" si="67"/>
        <v>8.0182373692165942E-8</v>
      </c>
      <c r="V51" s="76"/>
      <c r="W51" s="62">
        <f t="shared" si="68"/>
        <v>2540</v>
      </c>
      <c r="X51" s="63">
        <v>240</v>
      </c>
      <c r="Y51" s="62">
        <f t="shared" si="69"/>
        <v>0.18102528000000001</v>
      </c>
      <c r="Z51" s="65">
        <f t="shared" si="93"/>
        <v>0.54803839237187135</v>
      </c>
      <c r="AA51" s="65">
        <f t="shared" si="94"/>
        <v>0.54803839237187135</v>
      </c>
      <c r="AB51" s="65">
        <f t="shared" si="95"/>
        <v>0.12056844632181168</v>
      </c>
      <c r="AC51" s="65">
        <f t="shared" si="70"/>
        <v>0.5780826702796249</v>
      </c>
      <c r="AD51" s="65">
        <f t="shared" si="96"/>
        <v>0.4219173297203751</v>
      </c>
      <c r="AE51" s="65">
        <f t="shared" si="97"/>
        <v>0.88641641332585963</v>
      </c>
      <c r="AF51" s="65">
        <f t="shared" si="98"/>
        <v>0.11358358667414037</v>
      </c>
      <c r="AG51" s="154">
        <f t="shared" si="99"/>
        <v>0.31681149727808422</v>
      </c>
      <c r="AH51" s="154">
        <f t="shared" si="100"/>
        <v>0.10687384974885175</v>
      </c>
      <c r="AI51" s="154">
        <f t="shared" si="71"/>
        <v>8.6812431826603378E-2</v>
      </c>
      <c r="AJ51" s="154">
        <f t="shared" si="101"/>
        <v>6.442807008324899E-3</v>
      </c>
      <c r="AK51" s="154">
        <f t="shared" si="72"/>
        <v>1.5858848525381466E-2</v>
      </c>
      <c r="AL51" s="154">
        <f t="shared" si="102"/>
        <v>2.5893307698167091E-4</v>
      </c>
      <c r="AM51" s="154">
        <f t="shared" si="73"/>
        <v>2.1728144626797698E-3</v>
      </c>
      <c r="AN51" s="154">
        <f t="shared" si="103"/>
        <v>7.8047896982515306E-6</v>
      </c>
      <c r="AO51" s="154">
        <f t="shared" si="74"/>
        <v>2.381571490098745E-4</v>
      </c>
      <c r="AP51" s="154">
        <f t="shared" si="104"/>
        <v>1.8820227355733367E-7</v>
      </c>
      <c r="AQ51" s="76"/>
      <c r="AR51" s="62">
        <f t="shared" si="105"/>
        <v>1044</v>
      </c>
      <c r="AS51" s="63">
        <v>240</v>
      </c>
      <c r="AT51" s="64">
        <f t="shared" si="75"/>
        <v>0.18102528000000001</v>
      </c>
      <c r="AU51" s="65">
        <f t="shared" si="76"/>
        <v>0.12962303999999999</v>
      </c>
      <c r="AV51" s="65">
        <f t="shared" si="106"/>
        <v>0.12962303999999999</v>
      </c>
      <c r="AW51" s="65">
        <f t="shared" si="107"/>
        <v>2.8517068799999989E-2</v>
      </c>
      <c r="AX51" s="65">
        <f t="shared" si="77"/>
        <v>0.87842650017021295</v>
      </c>
      <c r="AY51" s="65">
        <f t="shared" si="108"/>
        <v>0.12157349393369223</v>
      </c>
      <c r="AZ51" s="65">
        <f t="shared" si="108"/>
        <v>2.8114294917434713E-2</v>
      </c>
      <c r="BA51" s="65">
        <f t="shared" si="78"/>
        <v>0.11386431336862352</v>
      </c>
      <c r="BB51" s="65">
        <f t="shared" si="79"/>
        <v>2.7715331517555227E-2</v>
      </c>
      <c r="BC51" s="65">
        <f t="shared" si="80"/>
        <v>7.3797192231768094E-3</v>
      </c>
      <c r="BD51" s="65">
        <f t="shared" si="81"/>
        <v>3.9518000785046525E-4</v>
      </c>
      <c r="BE51" s="65">
        <f t="shared" si="82"/>
        <v>3.1886054668487214E-4</v>
      </c>
      <c r="BF51" s="65">
        <f t="shared" si="83"/>
        <v>3.7564584907520843E-6</v>
      </c>
      <c r="BG51" s="65">
        <f t="shared" si="84"/>
        <v>1.0332918349338761E-5</v>
      </c>
      <c r="BH51" s="65">
        <f t="shared" si="85"/>
        <v>2.6780796306280332E-8</v>
      </c>
      <c r="BI51" s="65">
        <f t="shared" si="86"/>
        <v>2.6787685770261443E-7</v>
      </c>
      <c r="BJ51" s="65">
        <f t="shared" si="87"/>
        <v>1.5274196215699636E-10</v>
      </c>
    </row>
    <row r="52" spans="1:62" x14ac:dyDescent="0.3">
      <c r="A52" s="91"/>
      <c r="B52" s="62">
        <f t="shared" si="88"/>
        <v>8884</v>
      </c>
      <c r="C52" s="63">
        <v>270</v>
      </c>
      <c r="D52" s="64">
        <f t="shared" si="89"/>
        <v>0.22911012</v>
      </c>
      <c r="E52" s="65">
        <f t="shared" si="55"/>
        <v>0.58254559418431595</v>
      </c>
      <c r="F52" s="65">
        <f t="shared" si="90"/>
        <v>0.58254559418431595</v>
      </c>
      <c r="G52" s="65">
        <f t="shared" si="91"/>
        <v>0.12816003072054949</v>
      </c>
      <c r="H52" s="65">
        <f t="shared" si="56"/>
        <v>0.55847490508597197</v>
      </c>
      <c r="I52" s="65">
        <f t="shared" si="57"/>
        <v>0.441492061267586</v>
      </c>
      <c r="J52" s="65"/>
      <c r="K52" s="90">
        <f t="shared" si="92"/>
        <v>0.12028740764494564</v>
      </c>
      <c r="L52" s="65">
        <f t="shared" si="58"/>
        <v>0.32533709542033701</v>
      </c>
      <c r="M52" s="65">
        <f t="shared" si="59"/>
        <v>0.11274399215470036</v>
      </c>
      <c r="N52" s="65">
        <f t="shared" si="60"/>
        <v>9.4761845780919854E-2</v>
      </c>
      <c r="O52" s="65">
        <f t="shared" si="61"/>
        <v>7.2246367490518939E-3</v>
      </c>
      <c r="P52" s="65">
        <f t="shared" si="62"/>
        <v>1.8401031918816157E-2</v>
      </c>
      <c r="Q52" s="65">
        <f t="shared" si="63"/>
        <v>3.0863655590110053E-4</v>
      </c>
      <c r="R52" s="65">
        <f t="shared" si="64"/>
        <v>2.6798600181878302E-3</v>
      </c>
      <c r="S52" s="65">
        <f t="shared" si="65"/>
        <v>9.8887176214424072E-6</v>
      </c>
      <c r="T52" s="65">
        <f t="shared" si="66"/>
        <v>3.1222812932520425E-4</v>
      </c>
      <c r="U52" s="65">
        <f t="shared" si="67"/>
        <v>2.5346767083017961E-7</v>
      </c>
      <c r="V52" s="76"/>
      <c r="W52" s="62">
        <f t="shared" si="68"/>
        <v>2540</v>
      </c>
      <c r="X52" s="63">
        <v>270</v>
      </c>
      <c r="Y52" s="62">
        <f t="shared" si="69"/>
        <v>0.22911012</v>
      </c>
      <c r="Z52" s="65">
        <f t="shared" si="93"/>
        <v>0.69361109034564961</v>
      </c>
      <c r="AA52" s="65">
        <f t="shared" si="94"/>
        <v>0.69361109034564961</v>
      </c>
      <c r="AB52" s="65">
        <f t="shared" si="95"/>
        <v>0.15259443987604293</v>
      </c>
      <c r="AC52" s="65">
        <f t="shared" si="70"/>
        <v>0.49976809890190121</v>
      </c>
      <c r="AD52" s="65">
        <f t="shared" si="96"/>
        <v>0.50023190109809879</v>
      </c>
      <c r="AE52" s="65">
        <f t="shared" si="97"/>
        <v>0.85847781558944958</v>
      </c>
      <c r="AF52" s="65">
        <f t="shared" si="98"/>
        <v>0.14152218441055042</v>
      </c>
      <c r="AG52" s="154">
        <f t="shared" si="99"/>
        <v>0.34664469599932013</v>
      </c>
      <c r="AH52" s="154">
        <f t="shared" si="100"/>
        <v>0.13099894141588092</v>
      </c>
      <c r="AI52" s="154">
        <f t="shared" si="71"/>
        <v>0.12021830277731235</v>
      </c>
      <c r="AJ52" s="154">
        <f t="shared" si="101"/>
        <v>9.9948550448554566E-3</v>
      </c>
      <c r="AK52" s="154">
        <f t="shared" si="72"/>
        <v>2.779491602295835E-2</v>
      </c>
      <c r="AL52" s="154">
        <f t="shared" si="102"/>
        <v>5.0838643573732003E-4</v>
      </c>
      <c r="AM52" s="154">
        <f t="shared" si="73"/>
        <v>4.819715502187477E-3</v>
      </c>
      <c r="AN52" s="154">
        <f t="shared" si="103"/>
        <v>1.9394235850478566E-5</v>
      </c>
      <c r="AO52" s="154">
        <f t="shared" si="74"/>
        <v>6.6860162492561723E-4</v>
      </c>
      <c r="AP52" s="154">
        <f t="shared" si="104"/>
        <v>5.918905112855295E-7</v>
      </c>
      <c r="AQ52" s="76"/>
      <c r="AR52" s="62">
        <f t="shared" si="105"/>
        <v>1044</v>
      </c>
      <c r="AS52" s="63">
        <v>270</v>
      </c>
      <c r="AT52" s="64">
        <f t="shared" si="75"/>
        <v>0.22911012</v>
      </c>
      <c r="AU52" s="65">
        <f t="shared" si="76"/>
        <v>0.16405416</v>
      </c>
      <c r="AV52" s="65">
        <f t="shared" si="106"/>
        <v>0.16405416</v>
      </c>
      <c r="AW52" s="65">
        <f t="shared" si="107"/>
        <v>3.6091915199999991E-2</v>
      </c>
      <c r="AX52" s="65">
        <f t="shared" si="77"/>
        <v>0.84869605525708913</v>
      </c>
      <c r="AY52" s="65">
        <f t="shared" si="108"/>
        <v>0.15130392121346686</v>
      </c>
      <c r="AZ52" s="65">
        <f t="shared" si="108"/>
        <v>3.5448367544693486E-2</v>
      </c>
      <c r="BA52" s="65">
        <f t="shared" si="78"/>
        <v>0.13923211844051533</v>
      </c>
      <c r="BB52" s="65">
        <f t="shared" si="79"/>
        <v>3.481251572449106E-2</v>
      </c>
      <c r="BC52" s="65">
        <f t="shared" si="80"/>
        <v>1.1420804117889628E-2</v>
      </c>
      <c r="BD52" s="65">
        <f t="shared" si="81"/>
        <v>6.2822518271349879E-4</v>
      </c>
      <c r="BE52" s="65">
        <f t="shared" si="82"/>
        <v>6.2454347536164141E-4</v>
      </c>
      <c r="BF52" s="65">
        <f t="shared" si="83"/>
        <v>7.5579500070000329E-6</v>
      </c>
      <c r="BG52" s="65">
        <f t="shared" si="84"/>
        <v>2.5614738808483696E-5</v>
      </c>
      <c r="BH52" s="65">
        <f t="shared" si="85"/>
        <v>6.8195222684621124E-8</v>
      </c>
      <c r="BI52" s="65">
        <f t="shared" si="86"/>
        <v>8.4044089176903871E-7</v>
      </c>
      <c r="BJ52" s="65">
        <f t="shared" si="87"/>
        <v>4.9225923883569225E-10</v>
      </c>
    </row>
    <row r="53" spans="1:62" x14ac:dyDescent="0.3">
      <c r="A53" s="76"/>
      <c r="B53" s="62">
        <f t="shared" si="88"/>
        <v>8884</v>
      </c>
      <c r="C53" s="63">
        <v>300</v>
      </c>
      <c r="D53" s="64">
        <f t="shared" si="89"/>
        <v>0.28285199999999999</v>
      </c>
      <c r="E53" s="65">
        <f t="shared" si="55"/>
        <v>0.71919209158557518</v>
      </c>
      <c r="F53" s="65">
        <f t="shared" si="90"/>
        <v>0.71919209158557518</v>
      </c>
      <c r="G53" s="65">
        <f t="shared" si="91"/>
        <v>0.15822226014882657</v>
      </c>
      <c r="H53" s="65">
        <f t="shared" si="56"/>
        <v>0.48714566610158511</v>
      </c>
      <c r="I53" s="65">
        <f t="shared" si="57"/>
        <v>0.51275014958596277</v>
      </c>
      <c r="J53" s="65"/>
      <c r="K53" s="90">
        <f t="shared" si="92"/>
        <v>0.14633995469193403</v>
      </c>
      <c r="L53" s="65">
        <f t="shared" si="58"/>
        <v>0.35035131051044721</v>
      </c>
      <c r="M53" s="65">
        <f t="shared" si="59"/>
        <v>0.13506801875628702</v>
      </c>
      <c r="N53" s="65">
        <f t="shared" si="60"/>
        <v>0.12598494589787793</v>
      </c>
      <c r="O53" s="65">
        <f t="shared" si="61"/>
        <v>1.0685383600721916E-2</v>
      </c>
      <c r="P53" s="65">
        <f t="shared" si="62"/>
        <v>3.0202458916196787E-2</v>
      </c>
      <c r="Q53" s="65">
        <f t="shared" si="63"/>
        <v>5.635551812878094E-4</v>
      </c>
      <c r="R53" s="65">
        <f t="shared" si="64"/>
        <v>5.4303423997417418E-3</v>
      </c>
      <c r="S53" s="65">
        <f t="shared" si="65"/>
        <v>2.2291743625484727E-5</v>
      </c>
      <c r="T53" s="65">
        <f t="shared" si="66"/>
        <v>7.8109186169921896E-4</v>
      </c>
      <c r="U53" s="65">
        <f t="shared" si="67"/>
        <v>7.0541001181647809E-7</v>
      </c>
      <c r="V53" s="76"/>
      <c r="W53" s="62">
        <f t="shared" si="68"/>
        <v>2540</v>
      </c>
      <c r="X53" s="63">
        <v>300</v>
      </c>
      <c r="Y53" s="62">
        <f t="shared" si="69"/>
        <v>0.28285199999999999</v>
      </c>
      <c r="Z53" s="65">
        <f t="shared" si="93"/>
        <v>0.85630998808104886</v>
      </c>
      <c r="AA53" s="65">
        <f t="shared" si="94"/>
        <v>0.85630998808104886</v>
      </c>
      <c r="AB53" s="65">
        <f t="shared" si="95"/>
        <v>0.18838819737783075</v>
      </c>
      <c r="AC53" s="65">
        <f t="shared" si="70"/>
        <v>0.4247264399191984</v>
      </c>
      <c r="AD53" s="65">
        <f t="shared" si="96"/>
        <v>0.57527356008080166</v>
      </c>
      <c r="AE53" s="65">
        <f t="shared" si="97"/>
        <v>0.82829310360298247</v>
      </c>
      <c r="AF53" s="65">
        <f t="shared" si="98"/>
        <v>0.17170689639701753</v>
      </c>
      <c r="AG53" s="154">
        <f t="shared" si="99"/>
        <v>0.36369749270491508</v>
      </c>
      <c r="AH53" s="154">
        <f t="shared" si="100"/>
        <v>0.15604064468825468</v>
      </c>
      <c r="AI53" s="154">
        <f t="shared" si="71"/>
        <v>0.1557188978216266</v>
      </c>
      <c r="AJ53" s="154">
        <f t="shared" si="101"/>
        <v>1.469810788524744E-2</v>
      </c>
      <c r="AK53" s="154">
        <f t="shared" si="72"/>
        <v>4.4447882512543717E-2</v>
      </c>
      <c r="AL53" s="154">
        <f t="shared" si="102"/>
        <v>9.2298334978888161E-4</v>
      </c>
      <c r="AM53" s="154">
        <f t="shared" si="73"/>
        <v>9.5152914361360426E-3</v>
      </c>
      <c r="AN53" s="154">
        <f t="shared" si="103"/>
        <v>4.3469792369119814E-5</v>
      </c>
      <c r="AO53" s="154">
        <f t="shared" si="74"/>
        <v>1.6296078192530722E-3</v>
      </c>
      <c r="AP53" s="154">
        <f t="shared" si="104"/>
        <v>1.6378391649614127E-6</v>
      </c>
      <c r="AQ53" s="76"/>
      <c r="AR53" s="62">
        <f t="shared" si="105"/>
        <v>1044</v>
      </c>
      <c r="AS53" s="63">
        <v>300</v>
      </c>
      <c r="AT53" s="64">
        <f t="shared" si="75"/>
        <v>0.28285199999999999</v>
      </c>
      <c r="AU53" s="65">
        <f t="shared" si="76"/>
        <v>0.20253599999999999</v>
      </c>
      <c r="AV53" s="65">
        <f t="shared" si="106"/>
        <v>0.20253599999999999</v>
      </c>
      <c r="AW53" s="65">
        <f t="shared" si="107"/>
        <v>4.4557920000000001E-2</v>
      </c>
      <c r="AX53" s="65">
        <f t="shared" si="77"/>
        <v>0.81665708241394386</v>
      </c>
      <c r="AY53" s="65">
        <f t="shared" si="108"/>
        <v>0.18334283696951276</v>
      </c>
      <c r="AZ53" s="65">
        <f t="shared" si="108"/>
        <v>4.3579797358348098E-2</v>
      </c>
      <c r="BA53" s="65">
        <f t="shared" si="78"/>
        <v>0.16540245884379054</v>
      </c>
      <c r="BB53" s="65">
        <f t="shared" si="79"/>
        <v>4.2616094875224324E-2</v>
      </c>
      <c r="BC53" s="65">
        <f t="shared" si="80"/>
        <v>1.6749976202192977E-2</v>
      </c>
      <c r="BD53" s="65">
        <f t="shared" si="81"/>
        <v>9.4944227308132762E-4</v>
      </c>
      <c r="BE53" s="65">
        <f t="shared" si="82"/>
        <v>1.1308243933624523E-3</v>
      </c>
      <c r="BF53" s="65">
        <f t="shared" si="83"/>
        <v>1.410172428285865E-5</v>
      </c>
      <c r="BG53" s="65">
        <f t="shared" si="84"/>
        <v>5.7258162333514408E-5</v>
      </c>
      <c r="BH53" s="65">
        <f t="shared" si="85"/>
        <v>1.5708587561441825E-7</v>
      </c>
      <c r="BI53" s="65">
        <f t="shared" si="86"/>
        <v>2.3193678332761347E-6</v>
      </c>
      <c r="BJ53" s="65">
        <f t="shared" si="87"/>
        <v>1.39988397575144E-9</v>
      </c>
    </row>
    <row r="54" spans="1:62" x14ac:dyDescent="0.3">
      <c r="A54" s="38"/>
      <c r="B54" s="62">
        <f t="shared" si="88"/>
        <v>8884</v>
      </c>
      <c r="C54" s="63">
        <v>330</v>
      </c>
      <c r="D54" s="64">
        <f t="shared" si="89"/>
        <v>0.34225091999999996</v>
      </c>
      <c r="E54" s="65">
        <f t="shared" si="55"/>
        <v>0.870222430818546</v>
      </c>
      <c r="F54" s="65">
        <f t="shared" si="90"/>
        <v>0.870222430818546</v>
      </c>
      <c r="G54" s="65">
        <f t="shared" si="91"/>
        <v>0.19144893478008007</v>
      </c>
      <c r="H54" s="65">
        <f t="shared" si="56"/>
        <v>0.41885837187475256</v>
      </c>
      <c r="I54" s="65">
        <f t="shared" si="57"/>
        <v>0.58085379313687546</v>
      </c>
      <c r="J54" s="65"/>
      <c r="K54" s="90">
        <f t="shared" si="92"/>
        <v>0.17423815020747521</v>
      </c>
      <c r="L54" s="65">
        <f t="shared" si="58"/>
        <v>0.36449995054154566</v>
      </c>
      <c r="M54" s="65">
        <f t="shared" si="59"/>
        <v>0.15809121541020524</v>
      </c>
      <c r="N54" s="65">
        <f t="shared" si="60"/>
        <v>0.15859801649675181</v>
      </c>
      <c r="O54" s="65">
        <f t="shared" si="61"/>
        <v>1.5133197394185985E-2</v>
      </c>
      <c r="P54" s="65">
        <f t="shared" si="62"/>
        <v>4.6005183812934412E-2</v>
      </c>
      <c r="Q54" s="65">
        <f t="shared" si="63"/>
        <v>9.6574484031119675E-4</v>
      </c>
      <c r="R54" s="65">
        <f t="shared" si="64"/>
        <v>1.0008685721986451E-2</v>
      </c>
      <c r="S54" s="65">
        <f t="shared" si="65"/>
        <v>4.6222705236734285E-5</v>
      </c>
      <c r="T54" s="65">
        <f t="shared" si="66"/>
        <v>1.7419565636571847E-3</v>
      </c>
      <c r="U54" s="65">
        <f t="shared" si="67"/>
        <v>1.7698575360452814E-6</v>
      </c>
      <c r="V54" s="76"/>
      <c r="W54" s="62">
        <f t="shared" si="68"/>
        <v>2540</v>
      </c>
      <c r="X54" s="63">
        <v>330</v>
      </c>
      <c r="Y54" s="62">
        <f t="shared" si="69"/>
        <v>0.34225091999999996</v>
      </c>
      <c r="Z54" s="65">
        <f t="shared" si="93"/>
        <v>1.0361350855780689</v>
      </c>
      <c r="AA54" s="65">
        <f t="shared" si="94"/>
        <v>1.0361350855780689</v>
      </c>
      <c r="AB54" s="65">
        <f t="shared" si="95"/>
        <v>0.22794971882717507</v>
      </c>
      <c r="AC54" s="65">
        <f t="shared" si="70"/>
        <v>0.35482339733671125</v>
      </c>
      <c r="AD54" s="65">
        <f t="shared" si="96"/>
        <v>0.6451766026632888</v>
      </c>
      <c r="AE54" s="65">
        <f t="shared" si="97"/>
        <v>0.79616429090334873</v>
      </c>
      <c r="AF54" s="65">
        <f t="shared" si="98"/>
        <v>0.20383570909665127</v>
      </c>
      <c r="AG54" s="154">
        <f t="shared" si="99"/>
        <v>0.36764497116457445</v>
      </c>
      <c r="AH54" s="154">
        <f t="shared" si="100"/>
        <v>0.18148542625165556</v>
      </c>
      <c r="AI54" s="154">
        <f t="shared" si="71"/>
        <v>0.19046492682997651</v>
      </c>
      <c r="AJ54" s="154">
        <f t="shared" si="101"/>
        <v>2.0684775942647452E-2</v>
      </c>
      <c r="AK54" s="154">
        <f t="shared" si="72"/>
        <v>6.5782464420199457E-2</v>
      </c>
      <c r="AL54" s="154">
        <f t="shared" si="102"/>
        <v>1.571696286709867E-3</v>
      </c>
      <c r="AM54" s="154">
        <f t="shared" si="73"/>
        <v>1.7039879850389909E-2</v>
      </c>
      <c r="AN54" s="154">
        <f t="shared" si="103"/>
        <v>8.9566931659307335E-5</v>
      </c>
      <c r="AO54" s="154">
        <f t="shared" si="74"/>
        <v>3.5311234734047518E-3</v>
      </c>
      <c r="AP54" s="154">
        <f t="shared" si="104"/>
        <v>4.0833513775903818E-6</v>
      </c>
      <c r="AQ54" s="76"/>
      <c r="AR54" s="62">
        <f t="shared" si="105"/>
        <v>1044</v>
      </c>
      <c r="AS54" s="63">
        <v>330</v>
      </c>
      <c r="AT54" s="64">
        <f t="shared" si="75"/>
        <v>0.34225091999999996</v>
      </c>
      <c r="AU54" s="65">
        <f t="shared" si="76"/>
        <v>0.24506855999999996</v>
      </c>
      <c r="AV54" s="65">
        <f t="shared" si="106"/>
        <v>0.24506855999999996</v>
      </c>
      <c r="AW54" s="65">
        <f t="shared" si="107"/>
        <v>5.3915083199999991E-2</v>
      </c>
      <c r="AX54" s="65">
        <f t="shared" si="77"/>
        <v>0.78265087785822529</v>
      </c>
      <c r="AY54" s="65">
        <f t="shared" si="108"/>
        <v>0.21734887815405782</v>
      </c>
      <c r="AZ54" s="65">
        <f t="shared" si="108"/>
        <v>5.2487437146928259E-2</v>
      </c>
      <c r="BA54" s="65">
        <f t="shared" si="78"/>
        <v>0.19180312361945112</v>
      </c>
      <c r="BB54" s="65">
        <f t="shared" si="79"/>
        <v>5.1085218657512366E-2</v>
      </c>
      <c r="BC54" s="65">
        <f t="shared" si="80"/>
        <v>2.3502457654460435E-2</v>
      </c>
      <c r="BD54" s="65">
        <f t="shared" si="81"/>
        <v>1.3771319071049855E-3</v>
      </c>
      <c r="BE54" s="65">
        <f t="shared" si="82"/>
        <v>1.9199044846131986E-3</v>
      </c>
      <c r="BF54" s="65">
        <f t="shared" si="83"/>
        <v>2.4749393782979982E-5</v>
      </c>
      <c r="BG54" s="65">
        <f t="shared" si="84"/>
        <v>1.1762705684542467E-4</v>
      </c>
      <c r="BH54" s="65">
        <f t="shared" si="85"/>
        <v>3.3359140623973211E-7</v>
      </c>
      <c r="BI54" s="65">
        <f t="shared" si="86"/>
        <v>5.7653386876292726E-6</v>
      </c>
      <c r="BJ54" s="65">
        <f t="shared" si="87"/>
        <v>3.5971216844440309E-9</v>
      </c>
    </row>
    <row r="55" spans="1:62" x14ac:dyDescent="0.3">
      <c r="A55" s="76"/>
      <c r="B55" s="62">
        <f t="shared" si="88"/>
        <v>8884</v>
      </c>
      <c r="C55" s="63">
        <v>360</v>
      </c>
      <c r="D55" s="64">
        <f t="shared" si="89"/>
        <v>0.40730687999999998</v>
      </c>
      <c r="E55" s="65">
        <f t="shared" si="55"/>
        <v>1.0356366118832283</v>
      </c>
      <c r="F55" s="65">
        <f t="shared" si="90"/>
        <v>1.0356366118832283</v>
      </c>
      <c r="G55" s="65">
        <f t="shared" si="91"/>
        <v>0.22784005461431023</v>
      </c>
      <c r="H55" s="65">
        <f t="shared" si="56"/>
        <v>0.35500031155647671</v>
      </c>
      <c r="I55" s="65">
        <f t="shared" si="57"/>
        <v>0.64428821001337044</v>
      </c>
      <c r="J55" s="65"/>
      <c r="K55" s="90">
        <f t="shared" si="92"/>
        <v>0.20374823369345429</v>
      </c>
      <c r="L55" s="65">
        <f t="shared" si="58"/>
        <v>0.36765131987784</v>
      </c>
      <c r="M55" s="65">
        <f t="shared" si="59"/>
        <v>0.18141800949374481</v>
      </c>
      <c r="N55" s="65">
        <f t="shared" si="60"/>
        <v>0.19037658363634161</v>
      </c>
      <c r="O55" s="65">
        <f t="shared" si="61"/>
        <v>2.0667144595537135E-2</v>
      </c>
      <c r="P55" s="65">
        <f t="shared" si="62"/>
        <v>6.5720320019681616E-2</v>
      </c>
      <c r="Q55" s="65">
        <f t="shared" si="63"/>
        <v>1.5696011177896757E-3</v>
      </c>
      <c r="R55" s="65">
        <f t="shared" si="64"/>
        <v>1.701559238926614E-2</v>
      </c>
      <c r="S55" s="65">
        <f t="shared" si="65"/>
        <v>8.9404501099970518E-5</v>
      </c>
      <c r="T55" s="65">
        <f t="shared" si="66"/>
        <v>3.5243940902411263E-3</v>
      </c>
      <c r="U55" s="65">
        <f t="shared" si="67"/>
        <v>4.0739852826764889E-6</v>
      </c>
      <c r="V55" s="76"/>
      <c r="W55" s="62">
        <f t="shared" si="68"/>
        <v>2540</v>
      </c>
      <c r="X55" s="63">
        <v>360</v>
      </c>
      <c r="Y55" s="62">
        <f t="shared" si="69"/>
        <v>0.40730687999999998</v>
      </c>
      <c r="Z55" s="65">
        <f t="shared" si="93"/>
        <v>1.2330863828367105</v>
      </c>
      <c r="AA55" s="65">
        <f t="shared" si="94"/>
        <v>1.2330863828367105</v>
      </c>
      <c r="AB55" s="65">
        <f t="shared" si="95"/>
        <v>0.27127900422407625</v>
      </c>
      <c r="AC55" s="65">
        <f t="shared" si="70"/>
        <v>0.29139184160899972</v>
      </c>
      <c r="AD55" s="65">
        <f t="shared" si="96"/>
        <v>0.70860815839100022</v>
      </c>
      <c r="AE55" s="65">
        <f t="shared" si="97"/>
        <v>0.762403752860772</v>
      </c>
      <c r="AF55" s="65">
        <f t="shared" si="98"/>
        <v>0.237596247139228</v>
      </c>
      <c r="AG55" s="154">
        <f t="shared" si="99"/>
        <v>0.35931131195776911</v>
      </c>
      <c r="AH55" s="154">
        <f t="shared" si="100"/>
        <v>0.20682413089276896</v>
      </c>
      <c r="AI55" s="154">
        <f t="shared" si="71"/>
        <v>0.2215309429871592</v>
      </c>
      <c r="AJ55" s="154">
        <f t="shared" si="101"/>
        <v>2.8053522139050182E-2</v>
      </c>
      <c r="AK55" s="154">
        <f t="shared" si="72"/>
        <v>9.1055596391480545E-2</v>
      </c>
      <c r="AL55" s="154">
        <f t="shared" si="102"/>
        <v>2.5367771836198702E-3</v>
      </c>
      <c r="AM55" s="154">
        <f t="shared" si="73"/>
        <v>2.8069853997852542E-2</v>
      </c>
      <c r="AN55" s="154">
        <f t="shared" si="103"/>
        <v>1.7204359707768878E-4</v>
      </c>
      <c r="AO55" s="154">
        <f t="shared" si="74"/>
        <v>6.9225109465933131E-3</v>
      </c>
      <c r="AP55" s="154">
        <f t="shared" si="104"/>
        <v>9.3343631396727214E-6</v>
      </c>
      <c r="AQ55" s="76"/>
      <c r="AR55" s="62">
        <f t="shared" si="105"/>
        <v>1044</v>
      </c>
      <c r="AS55" s="63">
        <v>360</v>
      </c>
      <c r="AT55" s="64">
        <f t="shared" si="75"/>
        <v>0.40730687999999998</v>
      </c>
      <c r="AU55" s="65">
        <f t="shared" si="76"/>
        <v>0.29165184</v>
      </c>
      <c r="AV55" s="65">
        <f t="shared" si="106"/>
        <v>0.29165184</v>
      </c>
      <c r="AW55" s="65">
        <f t="shared" si="107"/>
        <v>6.416340479999999E-2</v>
      </c>
      <c r="AX55" s="65">
        <f t="shared" si="77"/>
        <v>0.74702857617201268</v>
      </c>
      <c r="AY55" s="65">
        <f t="shared" si="108"/>
        <v>0.25297075767365895</v>
      </c>
      <c r="AZ55" s="65">
        <f t="shared" si="108"/>
        <v>6.2148262374671845E-2</v>
      </c>
      <c r="BA55" s="65">
        <f t="shared" si="78"/>
        <v>0.21787225877314764</v>
      </c>
      <c r="BB55" s="65">
        <f t="shared" si="79"/>
        <v>6.0175760677751475E-2</v>
      </c>
      <c r="BC55" s="65">
        <f t="shared" si="80"/>
        <v>3.1771422578072327E-2</v>
      </c>
      <c r="BD55" s="65">
        <f t="shared" si="81"/>
        <v>1.9305408457572447E-3</v>
      </c>
      <c r="BE55" s="65">
        <f t="shared" si="82"/>
        <v>3.0887312847707794E-3</v>
      </c>
      <c r="BF55" s="65">
        <f t="shared" si="83"/>
        <v>4.1290024589752143E-5</v>
      </c>
      <c r="BG55" s="65">
        <f t="shared" si="84"/>
        <v>2.2520854061724042E-4</v>
      </c>
      <c r="BH55" s="65">
        <f t="shared" si="85"/>
        <v>6.6232714048855513E-7</v>
      </c>
      <c r="BI55" s="65">
        <f t="shared" si="86"/>
        <v>1.3136497050946581E-5</v>
      </c>
      <c r="BJ55" s="65">
        <f t="shared" si="87"/>
        <v>8.4994328850387243E-9</v>
      </c>
    </row>
    <row r="56" spans="1:62" x14ac:dyDescent="0.3">
      <c r="A56" s="76"/>
      <c r="B56" s="62">
        <f t="shared" si="88"/>
        <v>8884</v>
      </c>
      <c r="C56" s="63">
        <v>390</v>
      </c>
      <c r="D56" s="64">
        <f t="shared" si="89"/>
        <v>0.47801987999999995</v>
      </c>
      <c r="E56" s="65">
        <f t="shared" si="55"/>
        <v>1.2154346347796221</v>
      </c>
      <c r="F56" s="65">
        <f t="shared" si="90"/>
        <v>1.2154346347796221</v>
      </c>
      <c r="G56" s="65">
        <f t="shared" si="91"/>
        <v>0.26739561965151681</v>
      </c>
      <c r="H56" s="65">
        <f t="shared" si="56"/>
        <v>0.29658108182366855</v>
      </c>
      <c r="I56" s="65">
        <f t="shared" si="57"/>
        <v>0.70181991414317479</v>
      </c>
      <c r="J56" s="65"/>
      <c r="K56" s="90">
        <f t="shared" si="92"/>
        <v>0.23462938001637362</v>
      </c>
      <c r="L56" s="65">
        <f t="shared" si="58"/>
        <v>0.36047491886889582</v>
      </c>
      <c r="M56" s="65">
        <f t="shared" si="59"/>
        <v>0.20465664318708532</v>
      </c>
      <c r="N56" s="65">
        <f t="shared" si="60"/>
        <v>0.21906685068131515</v>
      </c>
      <c r="O56" s="65">
        <f t="shared" si="61"/>
        <v>2.7362144960405028E-2</v>
      </c>
      <c r="P56" s="65">
        <f t="shared" si="62"/>
        <v>8.8753812550055433E-2</v>
      </c>
      <c r="Q56" s="65">
        <f t="shared" si="63"/>
        <v>2.4388392355607102E-3</v>
      </c>
      <c r="R56" s="65">
        <f t="shared" si="64"/>
        <v>2.6968614435518918E-2</v>
      </c>
      <c r="S56" s="65">
        <f t="shared" si="65"/>
        <v>1.6303373215579688E-4</v>
      </c>
      <c r="T56" s="65">
        <f t="shared" si="66"/>
        <v>6.5557176073894755E-3</v>
      </c>
      <c r="U56" s="65">
        <f t="shared" si="67"/>
        <v>8.718901166779747E-6</v>
      </c>
      <c r="V56" s="76"/>
      <c r="W56" s="62">
        <f t="shared" si="68"/>
        <v>2540</v>
      </c>
      <c r="X56" s="63">
        <v>390</v>
      </c>
      <c r="Y56" s="62">
        <f t="shared" si="69"/>
        <v>0.47801987999999995</v>
      </c>
      <c r="Z56" s="65">
        <f t="shared" si="93"/>
        <v>1.4471638798569724</v>
      </c>
      <c r="AA56" s="65">
        <f t="shared" si="94"/>
        <v>1.4471638798569724</v>
      </c>
      <c r="AB56" s="65">
        <f t="shared" si="95"/>
        <v>0.31837605356853382</v>
      </c>
      <c r="AC56" s="65">
        <f t="shared" si="70"/>
        <v>0.23523650189744852</v>
      </c>
      <c r="AD56" s="65">
        <f t="shared" si="96"/>
        <v>0.76476349810255151</v>
      </c>
      <c r="AE56" s="65">
        <f t="shared" si="97"/>
        <v>0.72732922223053076</v>
      </c>
      <c r="AF56" s="65">
        <f t="shared" si="98"/>
        <v>0.27267077776946924</v>
      </c>
      <c r="AG56" s="154">
        <f t="shared" si="99"/>
        <v>0.34042576876989367</v>
      </c>
      <c r="AH56" s="154">
        <f t="shared" si="100"/>
        <v>0.23156420741882749</v>
      </c>
      <c r="AI56" s="154">
        <f t="shared" si="71"/>
        <v>0.24632593816816592</v>
      </c>
      <c r="AJ56" s="154">
        <f t="shared" si="101"/>
        <v>3.6862249252865853E-2</v>
      </c>
      <c r="AK56" s="154">
        <f t="shared" si="72"/>
        <v>0.1188246667962839</v>
      </c>
      <c r="AL56" s="154">
        <f t="shared" si="102"/>
        <v>3.9120191475956875E-3</v>
      </c>
      <c r="AM56" s="154">
        <f t="shared" si="73"/>
        <v>4.2989691455905539E-2</v>
      </c>
      <c r="AN56" s="154">
        <f t="shared" si="103"/>
        <v>3.1137330442401371E-4</v>
      </c>
      <c r="AO56" s="154">
        <f t="shared" si="74"/>
        <v>1.244262573623648E-2</v>
      </c>
      <c r="AP56" s="154">
        <f t="shared" si="104"/>
        <v>1.9826760769822233E-5</v>
      </c>
      <c r="AQ56" s="76"/>
      <c r="AR56" s="62">
        <f t="shared" si="105"/>
        <v>1044</v>
      </c>
      <c r="AS56" s="63">
        <v>390</v>
      </c>
      <c r="AT56" s="64">
        <f t="shared" si="75"/>
        <v>0.47801987999999995</v>
      </c>
      <c r="AU56" s="65">
        <f t="shared" si="76"/>
        <v>0.34228583999999995</v>
      </c>
      <c r="AV56" s="65">
        <f t="shared" si="106"/>
        <v>0.34228583999999995</v>
      </c>
      <c r="AW56" s="65">
        <f t="shared" si="107"/>
        <v>7.530288479999997E-2</v>
      </c>
      <c r="AX56" s="65">
        <f t="shared" si="77"/>
        <v>0.71014518779490288</v>
      </c>
      <c r="AY56" s="65">
        <f t="shared" si="108"/>
        <v>0.28985314503112652</v>
      </c>
      <c r="AZ56" s="65">
        <f t="shared" si="108"/>
        <v>7.2537470283403641E-2</v>
      </c>
      <c r="BA56" s="65">
        <f t="shared" si="78"/>
        <v>0.24307264212633606</v>
      </c>
      <c r="BB56" s="65">
        <f t="shared" si="79"/>
        <v>6.9840604013686691E-2</v>
      </c>
      <c r="BC56" s="65">
        <f t="shared" si="80"/>
        <v>4.1600161745616149E-2</v>
      </c>
      <c r="BD56" s="65">
        <f t="shared" si="81"/>
        <v>2.6295994792025325E-3</v>
      </c>
      <c r="BE56" s="65">
        <f t="shared" si="82"/>
        <v>4.7463821024113628E-3</v>
      </c>
      <c r="BF56" s="65">
        <f t="shared" si="83"/>
        <v>6.6005475550842739E-5</v>
      </c>
      <c r="BG56" s="65">
        <f t="shared" si="84"/>
        <v>4.0615484622120979E-4</v>
      </c>
      <c r="BH56" s="65">
        <f t="shared" si="85"/>
        <v>1.2426006803935814E-6</v>
      </c>
      <c r="BI56" s="65">
        <f t="shared" si="86"/>
        <v>2.7804210541779517E-5</v>
      </c>
      <c r="BJ56" s="65">
        <f t="shared" si="87"/>
        <v>1.8714283177615889E-8</v>
      </c>
    </row>
    <row r="57" spans="1:62" x14ac:dyDescent="0.3">
      <c r="A57" s="76"/>
      <c r="B57" s="62">
        <f t="shared" si="88"/>
        <v>8884</v>
      </c>
      <c r="C57" s="63">
        <v>420</v>
      </c>
      <c r="D57" s="64">
        <f t="shared" si="89"/>
        <v>0.55438991999999998</v>
      </c>
      <c r="E57" s="65">
        <f t="shared" si="55"/>
        <v>1.4096164995077276</v>
      </c>
      <c r="F57" s="65">
        <f t="shared" si="90"/>
        <v>1.4096164995077276</v>
      </c>
      <c r="G57" s="65">
        <f t="shared" si="91"/>
        <v>0.31011562989170005</v>
      </c>
      <c r="H57" s="65">
        <f t="shared" si="56"/>
        <v>0.24423693017840375</v>
      </c>
      <c r="I57" s="65">
        <f t="shared" si="57"/>
        <v>0.75245431689560305</v>
      </c>
      <c r="J57" s="65"/>
      <c r="K57" s="90">
        <f t="shared" si="92"/>
        <v>0.26663689951634278</v>
      </c>
      <c r="L57" s="65">
        <f t="shared" si="58"/>
        <v>0.34428040656859477</v>
      </c>
      <c r="M57" s="65">
        <f t="shared" si="59"/>
        <v>0.22742706593420253</v>
      </c>
      <c r="N57" s="65">
        <f t="shared" si="60"/>
        <v>0.24265167077815994</v>
      </c>
      <c r="O57" s="65">
        <f t="shared" si="61"/>
        <v>3.5264343903303207E-2</v>
      </c>
      <c r="P57" s="65">
        <f t="shared" si="62"/>
        <v>0.11401526625400378</v>
      </c>
      <c r="Q57" s="65">
        <f t="shared" si="63"/>
        <v>3.6453414074301359E-3</v>
      </c>
      <c r="R57" s="65">
        <f t="shared" si="64"/>
        <v>4.0179450126852589E-2</v>
      </c>
      <c r="S57" s="65">
        <f t="shared" si="65"/>
        <v>2.8261933668387323E-4</v>
      </c>
      <c r="T57" s="65">
        <f t="shared" si="66"/>
        <v>1.1327523167991854E-2</v>
      </c>
      <c r="U57" s="65">
        <f t="shared" si="67"/>
        <v>1.7528934723058763E-5</v>
      </c>
      <c r="V57" s="76"/>
      <c r="W57" s="62">
        <f t="shared" si="68"/>
        <v>2540</v>
      </c>
      <c r="X57" s="63">
        <v>420</v>
      </c>
      <c r="Y57" s="62">
        <f t="shared" si="69"/>
        <v>0.55438991999999998</v>
      </c>
      <c r="Z57" s="65">
        <f t="shared" si="93"/>
        <v>1.6783675766388557</v>
      </c>
      <c r="AA57" s="65">
        <f t="shared" si="94"/>
        <v>1.6783675766388557</v>
      </c>
      <c r="AB57" s="65">
        <f t="shared" si="95"/>
        <v>0.36924086686054824</v>
      </c>
      <c r="AC57" s="65">
        <f t="shared" si="70"/>
        <v>0.18667846573223279</v>
      </c>
      <c r="AD57" s="65">
        <f t="shared" si="96"/>
        <v>0.81332153426776721</v>
      </c>
      <c r="AE57" s="65">
        <f t="shared" si="97"/>
        <v>0.69125888903794008</v>
      </c>
      <c r="AF57" s="65">
        <f t="shared" si="98"/>
        <v>0.30874111096205992</v>
      </c>
      <c r="AG57" s="154">
        <f t="shared" si="99"/>
        <v>0.3133150841416672</v>
      </c>
      <c r="AH57" s="154">
        <f t="shared" si="100"/>
        <v>0.25524103141342852</v>
      </c>
      <c r="AI57" s="154">
        <f t="shared" si="71"/>
        <v>0.26292893924762462</v>
      </c>
      <c r="AJ57" s="154">
        <f t="shared" si="101"/>
        <v>4.7122709848737392E-2</v>
      </c>
      <c r="AK57" s="154">
        <f t="shared" si="72"/>
        <v>0.14709713553108689</v>
      </c>
      <c r="AL57" s="154">
        <f t="shared" si="102"/>
        <v>5.7998767444552958E-3</v>
      </c>
      <c r="AM57" s="154">
        <f t="shared" si="73"/>
        <v>6.1720765722956906E-2</v>
      </c>
      <c r="AN57" s="154">
        <f t="shared" si="103"/>
        <v>5.35387879201752E-4</v>
      </c>
      <c r="AO57" s="154">
        <f t="shared" si="74"/>
        <v>2.0718026398946748E-2</v>
      </c>
      <c r="AP57" s="154">
        <f t="shared" si="104"/>
        <v>3.9537416924617082E-5</v>
      </c>
      <c r="AQ57" s="76"/>
      <c r="AR57" s="62">
        <f t="shared" si="105"/>
        <v>1044</v>
      </c>
      <c r="AS57" s="73">
        <v>420</v>
      </c>
      <c r="AT57" s="64">
        <f t="shared" si="75"/>
        <v>0.55438991999999998</v>
      </c>
      <c r="AU57" s="65">
        <f t="shared" si="76"/>
        <v>0.39697056000000003</v>
      </c>
      <c r="AV57" s="65">
        <f t="shared" si="106"/>
        <v>0.39697056000000003</v>
      </c>
      <c r="AW57" s="65">
        <f t="shared" si="107"/>
        <v>8.7333523199999985E-2</v>
      </c>
      <c r="AX57" s="65">
        <f t="shared" si="77"/>
        <v>0.67235381943773531</v>
      </c>
      <c r="AY57" s="65">
        <f t="shared" si="108"/>
        <v>0.32764230817314416</v>
      </c>
      <c r="AZ57" s="74">
        <f t="shared" si="108"/>
        <v>8.3628585894447979E-2</v>
      </c>
      <c r="BA57" s="65">
        <f t="shared" si="78"/>
        <v>0.2669046722203367</v>
      </c>
      <c r="BB57" s="65">
        <f t="shared" si="79"/>
        <v>8.0029944103663889E-2</v>
      </c>
      <c r="BC57" s="65">
        <f t="shared" si="80"/>
        <v>5.2976648598961756E-2</v>
      </c>
      <c r="BD57" s="65">
        <f t="shared" si="81"/>
        <v>3.494648490036016E-3</v>
      </c>
      <c r="BE57" s="65">
        <f t="shared" si="82"/>
        <v>7.0100566204176875E-3</v>
      </c>
      <c r="BF57" s="65">
        <f t="shared" si="83"/>
        <v>1.0173332166013512E-4</v>
      </c>
      <c r="BG57" s="65">
        <f t="shared" si="84"/>
        <v>6.956965255597293E-4</v>
      </c>
      <c r="BH57" s="65">
        <f t="shared" si="85"/>
        <v>2.2211823518546173E-6</v>
      </c>
      <c r="BI57" s="65">
        <f t="shared" si="86"/>
        <v>5.5234207868300013E-5</v>
      </c>
      <c r="BJ57" s="65">
        <f t="shared" si="87"/>
        <v>3.8796736091425151E-8</v>
      </c>
    </row>
    <row r="58" spans="1:62" x14ac:dyDescent="0.3">
      <c r="A58" s="76"/>
      <c r="B58" s="62">
        <f t="shared" si="88"/>
        <v>8884</v>
      </c>
      <c r="C58" s="63">
        <v>450</v>
      </c>
      <c r="D58" s="64">
        <f t="shared" si="89"/>
        <v>0.63641700000000001</v>
      </c>
      <c r="E58" s="65">
        <f t="shared" si="55"/>
        <v>1.6181822060675444</v>
      </c>
      <c r="F58" s="65">
        <f t="shared" si="90"/>
        <v>1.6181822060675444</v>
      </c>
      <c r="G58" s="65">
        <f t="shared" si="91"/>
        <v>0.35600008533485972</v>
      </c>
      <c r="H58" s="65">
        <f t="shared" si="56"/>
        <v>0.19825876530199379</v>
      </c>
      <c r="I58" s="65">
        <f t="shared" si="57"/>
        <v>0.79537393125938216</v>
      </c>
      <c r="J58" s="65"/>
      <c r="K58" s="90">
        <f t="shared" si="92"/>
        <v>0.29952535372584976</v>
      </c>
      <c r="L58" s="65">
        <f t="shared" si="58"/>
        <v>0.32081880620860787</v>
      </c>
      <c r="M58" s="65">
        <f t="shared" si="59"/>
        <v>0.24936829129867358</v>
      </c>
      <c r="N58" s="65">
        <f t="shared" si="60"/>
        <v>0.25957164178930048</v>
      </c>
      <c r="O58" s="65">
        <f t="shared" si="61"/>
        <v>4.4387566491067974E-2</v>
      </c>
      <c r="P58" s="65">
        <f t="shared" si="62"/>
        <v>0.14001140398106157</v>
      </c>
      <c r="Q58" s="65">
        <f t="shared" si="63"/>
        <v>5.2673258195423192E-3</v>
      </c>
      <c r="R58" s="65">
        <f t="shared" si="64"/>
        <v>5.6640990642172089E-2</v>
      </c>
      <c r="S58" s="65">
        <f t="shared" si="65"/>
        <v>4.6879211031089382E-4</v>
      </c>
      <c r="T58" s="65">
        <f t="shared" si="66"/>
        <v>1.8331088638240234E-2</v>
      </c>
      <c r="U58" s="65">
        <f t="shared" si="67"/>
        <v>3.3378006254997427E-5</v>
      </c>
      <c r="V58" s="76"/>
      <c r="W58" s="62">
        <f t="shared" si="68"/>
        <v>2540</v>
      </c>
      <c r="X58" s="63">
        <v>450</v>
      </c>
      <c r="Y58" s="62">
        <f t="shared" si="69"/>
        <v>0.63641700000000001</v>
      </c>
      <c r="Z58" s="65">
        <f t="shared" si="93"/>
        <v>1.9266974731823601</v>
      </c>
      <c r="AA58" s="65">
        <f t="shared" si="94"/>
        <v>1.9266974731823601</v>
      </c>
      <c r="AB58" s="65">
        <f t="shared" si="95"/>
        <v>0.42387344410011907</v>
      </c>
      <c r="AC58" s="65">
        <f t="shared" si="70"/>
        <v>0.14562834671645372</v>
      </c>
      <c r="AD58" s="65">
        <f t="shared" si="96"/>
        <v>0.85437165328354625</v>
      </c>
      <c r="AE58" s="65">
        <f t="shared" si="97"/>
        <v>0.6545067083531142</v>
      </c>
      <c r="AF58" s="65">
        <f t="shared" si="98"/>
        <v>0.3454932916468858</v>
      </c>
      <c r="AG58" s="154">
        <f t="shared" si="99"/>
        <v>0.28058176764231602</v>
      </c>
      <c r="AH58" s="154">
        <f t="shared" si="100"/>
        <v>0.27742801265626671</v>
      </c>
      <c r="AI58" s="154">
        <f t="shared" si="71"/>
        <v>0.27029809136874516</v>
      </c>
      <c r="AJ58" s="154">
        <f t="shared" si="101"/>
        <v>5.8797183607231587E-2</v>
      </c>
      <c r="AK58" s="154">
        <f t="shared" si="72"/>
        <v>0.17359421654872534</v>
      </c>
      <c r="AL58" s="154">
        <f t="shared" si="102"/>
        <v>8.3075215729947732E-3</v>
      </c>
      <c r="AM58" s="154">
        <f t="shared" si="73"/>
        <v>8.3615884595875142E-2</v>
      </c>
      <c r="AN58" s="154">
        <f t="shared" si="103"/>
        <v>8.8033444527033317E-4</v>
      </c>
      <c r="AO58" s="154">
        <f t="shared" si="74"/>
        <v>3.2220502713756094E-2</v>
      </c>
      <c r="AP58" s="154">
        <f t="shared" si="104"/>
        <v>7.4630078655340767E-5</v>
      </c>
      <c r="AQ58" s="76"/>
      <c r="AR58" s="62">
        <f t="shared" si="105"/>
        <v>1044</v>
      </c>
      <c r="AS58" s="63">
        <v>450</v>
      </c>
      <c r="AT58" s="64">
        <f t="shared" si="75"/>
        <v>0.63641700000000001</v>
      </c>
      <c r="AU58" s="65">
        <f t="shared" si="76"/>
        <v>0.455706</v>
      </c>
      <c r="AV58" s="65">
        <f t="shared" si="106"/>
        <v>0.455706</v>
      </c>
      <c r="AW58" s="65">
        <f t="shared" si="107"/>
        <v>0.10025531999999998</v>
      </c>
      <c r="AX58" s="65">
        <f t="shared" si="77"/>
        <v>0.63400020576150706</v>
      </c>
      <c r="AY58" s="65">
        <f t="shared" si="108"/>
        <v>0.36599136389077497</v>
      </c>
      <c r="AZ58" s="65">
        <f t="shared" si="108"/>
        <v>9.5393574269444129E-2</v>
      </c>
      <c r="BA58" s="65">
        <f t="shared" si="78"/>
        <v>0.28891769776675336</v>
      </c>
      <c r="BB58" s="65">
        <f t="shared" si="79"/>
        <v>9.0691606555915502E-2</v>
      </c>
      <c r="BC58" s="65">
        <f t="shared" si="80"/>
        <v>6.5830764189248048E-2</v>
      </c>
      <c r="BD58" s="65">
        <f t="shared" si="81"/>
        <v>4.5461580182887028E-3</v>
      </c>
      <c r="BE58" s="65">
        <f t="shared" si="82"/>
        <v>9.9998247418751577E-3</v>
      </c>
      <c r="BF58" s="65">
        <f t="shared" si="83"/>
        <v>1.5192550896469991E-4</v>
      </c>
      <c r="BG58" s="65">
        <f t="shared" si="84"/>
        <v>1.1392450334552402E-3</v>
      </c>
      <c r="BH58" s="65">
        <f t="shared" si="85"/>
        <v>3.8078351293547133E-6</v>
      </c>
      <c r="BI58" s="65">
        <f t="shared" si="86"/>
        <v>1.0383215944315072E-4</v>
      </c>
      <c r="BJ58" s="65">
        <f t="shared" si="87"/>
        <v>7.6351145880139617E-8</v>
      </c>
    </row>
    <row r="59" spans="1:62" x14ac:dyDescent="0.3">
      <c r="A59" s="76"/>
      <c r="B59" s="62">
        <f t="shared" si="88"/>
        <v>8884</v>
      </c>
      <c r="C59" s="63">
        <v>480</v>
      </c>
      <c r="D59" s="64">
        <f t="shared" si="89"/>
        <v>0.72410112000000004</v>
      </c>
      <c r="E59" s="65">
        <f t="shared" si="55"/>
        <v>1.8411317544590728</v>
      </c>
      <c r="F59" s="65">
        <f t="shared" si="90"/>
        <v>1.8411317544590728</v>
      </c>
      <c r="G59" s="65">
        <f t="shared" si="91"/>
        <v>0.40504898598099603</v>
      </c>
      <c r="H59" s="65">
        <f t="shared" si="56"/>
        <v>0.15863778545047735</v>
      </c>
      <c r="I59" s="65">
        <f t="shared" si="57"/>
        <v>0.82987394642504786</v>
      </c>
      <c r="J59" s="65"/>
      <c r="K59" s="90">
        <f t="shared" si="92"/>
        <v>0.33305152085688849</v>
      </c>
      <c r="L59" s="65">
        <f t="shared" si="58"/>
        <v>0.29207306424993934</v>
      </c>
      <c r="M59" s="65">
        <f t="shared" si="59"/>
        <v>0.27014504726678318</v>
      </c>
      <c r="N59" s="65">
        <f t="shared" si="60"/>
        <v>0.2688724966063642</v>
      </c>
      <c r="O59" s="65">
        <f t="shared" si="61"/>
        <v>5.4710988731599387E-2</v>
      </c>
      <c r="P59" s="65">
        <f t="shared" si="62"/>
        <v>0.16500989713422212</v>
      </c>
      <c r="Q59" s="65">
        <f t="shared" si="63"/>
        <v>7.3868768359173428E-3</v>
      </c>
      <c r="R59" s="65">
        <f t="shared" si="64"/>
        <v>7.5951240353460389E-2</v>
      </c>
      <c r="S59" s="65">
        <f t="shared" si="65"/>
        <v>7.4801174298870727E-4</v>
      </c>
      <c r="T59" s="65">
        <f t="shared" si="66"/>
        <v>2.7967248081061848E-2</v>
      </c>
      <c r="U59" s="65">
        <f t="shared" si="67"/>
        <v>6.0596279599890658E-5</v>
      </c>
      <c r="V59" s="76"/>
      <c r="W59" s="62">
        <f t="shared" si="68"/>
        <v>2540</v>
      </c>
      <c r="X59" s="63">
        <v>480</v>
      </c>
      <c r="Y59" s="62">
        <f t="shared" si="69"/>
        <v>0.72410112000000004</v>
      </c>
      <c r="Z59" s="65">
        <f t="shared" si="93"/>
        <v>2.1921535694874854</v>
      </c>
      <c r="AA59" s="65">
        <f t="shared" si="94"/>
        <v>2.1921535694874854</v>
      </c>
      <c r="AB59" s="65">
        <f t="shared" si="95"/>
        <v>0.48227378528724674</v>
      </c>
      <c r="AC59" s="65">
        <f t="shared" si="70"/>
        <v>0.1116759874633569</v>
      </c>
      <c r="AD59" s="65">
        <f t="shared" si="96"/>
        <v>0.88832401253664306</v>
      </c>
      <c r="AE59" s="65">
        <f t="shared" si="97"/>
        <v>0.61737800960803901</v>
      </c>
      <c r="AF59" s="65">
        <f t="shared" si="98"/>
        <v>0.38262199039196099</v>
      </c>
      <c r="AG59" s="154">
        <f t="shared" si="99"/>
        <v>0.24481091454383749</v>
      </c>
      <c r="AH59" s="154">
        <f t="shared" si="100"/>
        <v>0.29774522964677513</v>
      </c>
      <c r="AI59" s="154">
        <f t="shared" si="71"/>
        <v>0.26833156008338455</v>
      </c>
      <c r="AJ59" s="154">
        <f t="shared" si="101"/>
        <v>7.1797359476485412E-2</v>
      </c>
      <c r="AK59" s="154">
        <f t="shared" si="72"/>
        <v>0.19607466241431237</v>
      </c>
      <c r="AL59" s="154">
        <f t="shared" si="102"/>
        <v>1.1541994776117932E-2</v>
      </c>
      <c r="AM59" s="154">
        <f t="shared" si="73"/>
        <v>0.10745644277439713</v>
      </c>
      <c r="AN59" s="154">
        <f t="shared" si="103"/>
        <v>1.3916003776110056E-3</v>
      </c>
      <c r="AO59" s="154">
        <f t="shared" si="74"/>
        <v>4.7112204918464469E-2</v>
      </c>
      <c r="AP59" s="154">
        <f t="shared" si="104"/>
        <v>1.3422647634352432E-4</v>
      </c>
      <c r="AQ59" s="76"/>
      <c r="AR59" s="62">
        <f t="shared" si="105"/>
        <v>1044</v>
      </c>
      <c r="AS59" s="63">
        <v>480</v>
      </c>
      <c r="AT59" s="64">
        <f t="shared" si="75"/>
        <v>0.72410112000000004</v>
      </c>
      <c r="AU59" s="65">
        <f t="shared" si="76"/>
        <v>0.51849215999999998</v>
      </c>
      <c r="AV59" s="65">
        <f t="shared" si="106"/>
        <v>0.51849215999999998</v>
      </c>
      <c r="AW59" s="65">
        <f t="shared" si="107"/>
        <v>0.11406827519999996</v>
      </c>
      <c r="AX59" s="65">
        <f t="shared" si="77"/>
        <v>0.59541766601851209</v>
      </c>
      <c r="AY59" s="65">
        <f>SUM(BA59,BC59,BE59,BG59,BI59)</f>
        <v>0.40456499477414765</v>
      </c>
      <c r="AZ59" s="65">
        <f>SUM(BB59,BD59,BF59,BH59,BJ59)</f>
        <v>0.10780295835355609</v>
      </c>
      <c r="BA59" s="65">
        <f t="shared" si="78"/>
        <v>0.30871939175609692</v>
      </c>
      <c r="BB59" s="65">
        <f t="shared" si="79"/>
        <v>0.10177137736263107</v>
      </c>
      <c r="BC59" s="65">
        <f t="shared" si="80"/>
        <v>8.0034292132752441E-2</v>
      </c>
      <c r="BD59" s="65">
        <f t="shared" si="81"/>
        <v>5.8044427402418244E-3</v>
      </c>
      <c r="BE59" s="65">
        <f t="shared" si="82"/>
        <v>1.3832384333993938E-2</v>
      </c>
      <c r="BF59" s="65">
        <f t="shared" si="83"/>
        <v>2.2070092395884875E-4</v>
      </c>
      <c r="BG59" s="65">
        <f t="shared" si="84"/>
        <v>1.7929957078206694E-3</v>
      </c>
      <c r="BH59" s="65">
        <f t="shared" si="85"/>
        <v>6.2937434327580559E-6</v>
      </c>
      <c r="BI59" s="65">
        <f t="shared" si="86"/>
        <v>1.8593084348373352E-4</v>
      </c>
      <c r="BJ59" s="65">
        <f t="shared" si="87"/>
        <v>1.435832915852077E-7</v>
      </c>
    </row>
    <row r="60" spans="1:62" ht="15" thickBot="1" x14ac:dyDescent="0.35">
      <c r="A60" s="38"/>
      <c r="B60" s="62">
        <f t="shared" si="88"/>
        <v>8884</v>
      </c>
      <c r="C60" s="63">
        <v>510</v>
      </c>
      <c r="D60" s="64">
        <f t="shared" si="89"/>
        <v>0.81744227999999997</v>
      </c>
      <c r="E60" s="65">
        <f t="shared" si="55"/>
        <v>2.0784651446823128</v>
      </c>
      <c r="F60" s="65">
        <f t="shared" si="90"/>
        <v>2.0784651446823128</v>
      </c>
      <c r="G60" s="65">
        <f t="shared" si="91"/>
        <v>0.45726233183010878</v>
      </c>
      <c r="H60" s="65">
        <f t="shared" si="56"/>
        <v>0.12512210922853137</v>
      </c>
      <c r="I60" s="65">
        <f t="shared" si="57"/>
        <v>0.85531302827433087</v>
      </c>
      <c r="J60" s="65"/>
      <c r="K60" s="93">
        <f>SUM(M60,O60,Q60,S60,U60)</f>
        <v>0.3669771483055328</v>
      </c>
      <c r="L60" s="65">
        <f t="shared" si="58"/>
        <v>0.26006194286063561</v>
      </c>
      <c r="M60" s="65">
        <f t="shared" si="59"/>
        <v>0.28945357591909887</v>
      </c>
      <c r="N60" s="65">
        <f t="shared" si="60"/>
        <v>0.27026484184709715</v>
      </c>
      <c r="O60" s="65">
        <f t="shared" si="61"/>
        <v>6.617810854066529E-2</v>
      </c>
      <c r="P60" s="65">
        <f t="shared" si="62"/>
        <v>0.18724535120408972</v>
      </c>
      <c r="Q60" s="65">
        <f t="shared" si="63"/>
        <v>1.0086918742470216E-2</v>
      </c>
      <c r="R60" s="65">
        <f t="shared" si="64"/>
        <v>9.7295733995374722E-2</v>
      </c>
      <c r="S60" s="65">
        <f t="shared" si="65"/>
        <v>1.1530919962906899E-3</v>
      </c>
      <c r="T60" s="65">
        <f t="shared" si="66"/>
        <v>4.0445158367133673E-2</v>
      </c>
      <c r="U60" s="65">
        <f t="shared" si="67"/>
        <v>1.054531070077032E-4</v>
      </c>
      <c r="V60" s="76"/>
      <c r="W60" s="62">
        <f t="shared" si="68"/>
        <v>2540</v>
      </c>
      <c r="X60" s="63">
        <v>510</v>
      </c>
      <c r="Y60" s="62">
        <f t="shared" si="69"/>
        <v>0.81744227999999997</v>
      </c>
      <c r="Z60" s="65">
        <f t="shared" si="93"/>
        <v>2.4747358655542313</v>
      </c>
      <c r="AA60" s="65">
        <f t="shared" si="94"/>
        <v>2.4747358655542313</v>
      </c>
      <c r="AB60" s="65">
        <f t="shared" si="95"/>
        <v>0.54444189042193081</v>
      </c>
      <c r="AC60" s="65">
        <f t="shared" si="70"/>
        <v>8.4185223538254625E-2</v>
      </c>
      <c r="AD60" s="65">
        <f t="shared" si="96"/>
        <v>0.91581477646174536</v>
      </c>
      <c r="AE60" s="65">
        <f t="shared" si="97"/>
        <v>0.58016548891608188</v>
      </c>
      <c r="AF60" s="65">
        <f t="shared" si="98"/>
        <v>0.41983451108391812</v>
      </c>
      <c r="AG60" s="154">
        <f t="shared" si="99"/>
        <v>0.20833619203981901</v>
      </c>
      <c r="AH60" s="154">
        <f t="shared" si="100"/>
        <v>0.31586639554303536</v>
      </c>
      <c r="AI60" s="154">
        <f t="shared" si="71"/>
        <v>0.257788523266967</v>
      </c>
      <c r="AJ60" s="154">
        <f t="shared" si="101"/>
        <v>8.5985448755105762E-2</v>
      </c>
      <c r="AK60" s="154">
        <f t="shared" si="72"/>
        <v>0.21265283475234156</v>
      </c>
      <c r="AL60" s="154">
        <f t="shared" si="102"/>
        <v>1.560469342300261E-2</v>
      </c>
      <c r="AM60" s="154">
        <f t="shared" si="73"/>
        <v>0.13156489926834922</v>
      </c>
      <c r="AN60" s="154">
        <f t="shared" si="103"/>
        <v>2.123962196668553E-3</v>
      </c>
      <c r="AO60" s="154">
        <f t="shared" si="74"/>
        <v>6.5117674973482684E-2</v>
      </c>
      <c r="AP60" s="154">
        <f t="shared" si="104"/>
        <v>2.3127479870778877E-4</v>
      </c>
      <c r="AQ60" s="76"/>
      <c r="AR60" s="62">
        <f t="shared" si="105"/>
        <v>1044</v>
      </c>
      <c r="AS60" s="63">
        <v>510</v>
      </c>
      <c r="AT60" s="64">
        <f t="shared" si="75"/>
        <v>0.81744227999999997</v>
      </c>
      <c r="AU60" s="65">
        <f t="shared" si="76"/>
        <v>0.58532903999999997</v>
      </c>
      <c r="AV60" s="65">
        <f t="shared" si="106"/>
        <v>0.58532903999999997</v>
      </c>
      <c r="AW60" s="65">
        <f>1*($AU60-($AU60*0.78))</f>
        <v>0.12877238879999997</v>
      </c>
      <c r="AX60" s="65">
        <f t="shared" si="77"/>
        <v>0.55692258185427557</v>
      </c>
      <c r="AY60" s="65">
        <f>SUM(BA60,BC60,BE60,BG60,BI60)</f>
        <v>0.44304350620939176</v>
      </c>
      <c r="AZ60" s="65">
        <f>SUM(BB60,BD60,BF60,BH60,BJ60)</f>
        <v>0.12082594169334664</v>
      </c>
      <c r="BA60" s="65">
        <f t="shared" si="78"/>
        <v>0.32598296019108453</v>
      </c>
      <c r="BB60" s="65">
        <f t="shared" si="79"/>
        <v>0.11321334292876231</v>
      </c>
      <c r="BC60" s="65">
        <f t="shared" si="80"/>
        <v>9.5403646572502845E-2</v>
      </c>
      <c r="BD60" s="65">
        <f t="shared" si="81"/>
        <v>7.2893763064851534E-3</v>
      </c>
      <c r="BE60" s="65">
        <f t="shared" si="82"/>
        <v>1.8614174953594128E-2</v>
      </c>
      <c r="BF60" s="65">
        <f t="shared" si="83"/>
        <v>3.1289013328273795E-4</v>
      </c>
      <c r="BG60" s="65">
        <f t="shared" si="84"/>
        <v>2.7238542889948237E-3</v>
      </c>
      <c r="BH60" s="65">
        <f t="shared" si="85"/>
        <v>1.0072902473692136E-5</v>
      </c>
      <c r="BI60" s="65">
        <f t="shared" si="86"/>
        <v>3.1887020321544449E-4</v>
      </c>
      <c r="BJ60" s="65">
        <f t="shared" si="87"/>
        <v>2.5942234273735303E-7</v>
      </c>
    </row>
    <row r="61" spans="1:62" x14ac:dyDescent="0.3">
      <c r="A61" s="38"/>
      <c r="B61" s="38"/>
      <c r="C61" s="38"/>
      <c r="D61" s="38"/>
      <c r="E61" s="38"/>
      <c r="F61" s="38"/>
      <c r="G61" s="38"/>
      <c r="H61" s="38"/>
      <c r="I61" s="38"/>
      <c r="J61" s="38"/>
      <c r="K61" s="38"/>
      <c r="L61" s="38"/>
      <c r="M61" s="38"/>
      <c r="N61" s="38"/>
      <c r="O61" s="38"/>
      <c r="P61" s="38"/>
      <c r="Q61" s="38"/>
      <c r="R61" s="38"/>
      <c r="S61" s="38"/>
      <c r="T61" s="38"/>
      <c r="U61" s="38"/>
      <c r="V61" s="38"/>
      <c r="W61" s="38"/>
      <c r="X61" s="38"/>
      <c r="Y61" s="38"/>
      <c r="Z61" s="38"/>
      <c r="AA61" s="38"/>
      <c r="AB61" s="38"/>
      <c r="AC61" s="38"/>
      <c r="AD61" s="38"/>
      <c r="AE61" s="38"/>
      <c r="AF61" s="38"/>
      <c r="AG61" s="38"/>
      <c r="AH61" s="38"/>
      <c r="AI61" s="38"/>
      <c r="AJ61" s="38"/>
      <c r="AK61" s="38"/>
      <c r="AL61" s="38"/>
      <c r="AM61" s="38"/>
      <c r="AN61" s="38"/>
      <c r="AO61" s="38"/>
      <c r="AP61" s="38"/>
      <c r="AQ61" s="38"/>
      <c r="AR61" s="38"/>
      <c r="AS61" s="38"/>
      <c r="AT61" s="38"/>
      <c r="AU61" s="38"/>
      <c r="AV61" s="38"/>
      <c r="AW61" s="38"/>
      <c r="AX61" s="38"/>
      <c r="AY61" s="38"/>
      <c r="AZ61" s="38"/>
      <c r="BA61" s="38"/>
      <c r="BB61" s="38"/>
      <c r="BC61" s="38"/>
    </row>
    <row r="62" spans="1:62" ht="46.5" customHeight="1" x14ac:dyDescent="0.3">
      <c r="A62" s="1388" t="s">
        <v>387</v>
      </c>
      <c r="B62" s="1388"/>
      <c r="C62" s="1388"/>
      <c r="D62" s="1388"/>
      <c r="E62" s="1388"/>
      <c r="F62" s="1388"/>
      <c r="G62" s="1388"/>
      <c r="H62" s="1388"/>
      <c r="I62" s="1388"/>
      <c r="J62" s="1388"/>
      <c r="K62" s="1388"/>
      <c r="L62" s="1388"/>
      <c r="M62" s="1388"/>
      <c r="N62" s="1388"/>
      <c r="O62" s="1388"/>
      <c r="P62" s="1388"/>
      <c r="Q62" s="1388"/>
      <c r="R62" s="1388"/>
      <c r="S62" s="1388"/>
      <c r="T62" s="1388"/>
      <c r="U62" s="1388"/>
      <c r="V62" s="1383" t="s">
        <v>388</v>
      </c>
      <c r="W62" s="1383"/>
      <c r="X62" s="1383"/>
      <c r="Y62" s="1383"/>
      <c r="Z62" s="1383"/>
      <c r="AA62" s="1383"/>
      <c r="AB62" s="1383"/>
      <c r="AC62" s="1383"/>
      <c r="AD62" s="1383"/>
      <c r="AE62" s="1383"/>
      <c r="AF62" s="1383"/>
      <c r="AG62" s="1383"/>
      <c r="AH62" s="1383"/>
      <c r="AI62" s="1383"/>
      <c r="AJ62" s="1383"/>
      <c r="AK62" s="1383"/>
      <c r="AL62" s="1383"/>
      <c r="AM62" s="1383"/>
      <c r="AN62" s="1383"/>
      <c r="AO62" s="1383"/>
      <c r="AP62" s="1383"/>
      <c r="AQ62" s="1383" t="s">
        <v>389</v>
      </c>
      <c r="AR62" s="1383"/>
      <c r="AS62" s="1383"/>
      <c r="AT62" s="1383"/>
      <c r="AU62" s="1383"/>
      <c r="AV62" s="1383"/>
      <c r="AW62" s="1383"/>
      <c r="AX62" s="1383"/>
      <c r="AY62" s="1383"/>
      <c r="AZ62" s="1383"/>
      <c r="BA62" s="1383"/>
      <c r="BB62" s="1383"/>
      <c r="BC62" s="1383"/>
      <c r="BD62" s="1383"/>
      <c r="BE62" s="1383"/>
      <c r="BF62" s="1383"/>
      <c r="BG62" s="1383"/>
      <c r="BH62" s="1383"/>
      <c r="BI62" s="1383"/>
      <c r="BJ62" s="50"/>
    </row>
    <row r="63" spans="1:62" ht="101.25" customHeight="1" thickBot="1" x14ac:dyDescent="0.35">
      <c r="A63" s="57"/>
      <c r="B63" s="88" t="s">
        <v>362</v>
      </c>
      <c r="C63" s="88" t="s">
        <v>363</v>
      </c>
      <c r="D63" s="89" t="s">
        <v>364</v>
      </c>
      <c r="E63" s="52" t="s">
        <v>365</v>
      </c>
      <c r="F63" s="52" t="s">
        <v>366</v>
      </c>
      <c r="G63" s="52" t="s">
        <v>367</v>
      </c>
      <c r="H63" s="53" t="s">
        <v>368</v>
      </c>
      <c r="I63" s="152" t="s">
        <v>382</v>
      </c>
      <c r="J63" s="57" t="s">
        <v>419</v>
      </c>
      <c r="K63" s="152" t="s">
        <v>383</v>
      </c>
      <c r="L63" s="53" t="s">
        <v>371</v>
      </c>
      <c r="M63" s="53" t="s">
        <v>372</v>
      </c>
      <c r="N63" s="53" t="s">
        <v>373</v>
      </c>
      <c r="O63" s="53" t="s">
        <v>374</v>
      </c>
      <c r="P63" s="53" t="s">
        <v>375</v>
      </c>
      <c r="Q63" s="53" t="s">
        <v>376</v>
      </c>
      <c r="R63" s="53" t="s">
        <v>377</v>
      </c>
      <c r="S63" s="53" t="s">
        <v>378</v>
      </c>
      <c r="T63" s="53" t="s">
        <v>379</v>
      </c>
      <c r="U63" s="53" t="s">
        <v>380</v>
      </c>
      <c r="V63" s="57"/>
      <c r="W63" s="58" t="s">
        <v>362</v>
      </c>
      <c r="X63" s="58" t="s">
        <v>363</v>
      </c>
      <c r="Y63" s="59" t="s">
        <v>364</v>
      </c>
      <c r="Z63" s="57" t="s">
        <v>365</v>
      </c>
      <c r="AA63" s="52" t="s">
        <v>366</v>
      </c>
      <c r="AB63" s="52" t="s">
        <v>367</v>
      </c>
      <c r="AC63" s="60" t="s">
        <v>368</v>
      </c>
      <c r="AD63" s="152" t="s">
        <v>382</v>
      </c>
      <c r="AE63" s="57" t="s">
        <v>419</v>
      </c>
      <c r="AF63" s="152" t="s">
        <v>383</v>
      </c>
      <c r="AG63" s="153" t="s">
        <v>371</v>
      </c>
      <c r="AH63" s="153" t="s">
        <v>372</v>
      </c>
      <c r="AI63" s="153" t="s">
        <v>373</v>
      </c>
      <c r="AJ63" s="153" t="s">
        <v>374</v>
      </c>
      <c r="AK63" s="153" t="s">
        <v>375</v>
      </c>
      <c r="AL63" s="153" t="s">
        <v>376</v>
      </c>
      <c r="AM63" s="153" t="s">
        <v>377</v>
      </c>
      <c r="AN63" s="153" t="s">
        <v>378</v>
      </c>
      <c r="AO63" s="153" t="s">
        <v>379</v>
      </c>
      <c r="AP63" s="153" t="s">
        <v>380</v>
      </c>
      <c r="AQ63" s="57"/>
      <c r="AR63" s="58" t="s">
        <v>362</v>
      </c>
      <c r="AS63" s="58" t="s">
        <v>363</v>
      </c>
      <c r="AT63" s="59" t="s">
        <v>364</v>
      </c>
      <c r="AU63" s="57" t="s">
        <v>365</v>
      </c>
      <c r="AV63" s="52" t="s">
        <v>366</v>
      </c>
      <c r="AW63" s="52" t="s">
        <v>367</v>
      </c>
      <c r="AX63" s="60" t="s">
        <v>368</v>
      </c>
      <c r="AY63" s="57" t="s">
        <v>382</v>
      </c>
      <c r="AZ63" s="57" t="s">
        <v>383</v>
      </c>
      <c r="BA63" s="60" t="s">
        <v>371</v>
      </c>
      <c r="BB63" s="60" t="s">
        <v>372</v>
      </c>
      <c r="BC63" s="60" t="s">
        <v>373</v>
      </c>
      <c r="BD63" s="60" t="s">
        <v>374</v>
      </c>
      <c r="BE63" s="60" t="s">
        <v>375</v>
      </c>
      <c r="BF63" s="60" t="s">
        <v>376</v>
      </c>
      <c r="BG63" s="60" t="s">
        <v>377</v>
      </c>
      <c r="BH63" s="60" t="s">
        <v>378</v>
      </c>
      <c r="BI63" s="60" t="s">
        <v>379</v>
      </c>
      <c r="BJ63" s="60" t="s">
        <v>380</v>
      </c>
    </row>
    <row r="64" spans="1:62" ht="15" thickTop="1" x14ac:dyDescent="0.3">
      <c r="A64" s="57"/>
      <c r="B64" s="62">
        <f>ROUNDUP(1.84*($D$6/$P$13),0)</f>
        <v>4172</v>
      </c>
      <c r="C64" s="63">
        <v>30</v>
      </c>
      <c r="D64" s="64">
        <f t="shared" ref="D64:D118" si="109">((C64^2)*3.1428)/1000000</f>
        <v>2.8285200000000002E-3</v>
      </c>
      <c r="E64" s="65">
        <f t="shared" ref="E64:E115" si="110">B64/(3494/$D64)</f>
        <v>3.3773856439610764E-3</v>
      </c>
      <c r="F64" s="65">
        <f>1*E64</f>
        <v>3.3773856439610764E-3</v>
      </c>
      <c r="G64" s="65">
        <f>1*($E64-($E64*0.78))</f>
        <v>7.4302484167143665E-4</v>
      </c>
      <c r="H64" s="65">
        <f t="shared" ref="H64:H118" si="111">EXP(-$E64)</f>
        <v>0.99662831130752749</v>
      </c>
      <c r="I64" s="65">
        <f t="shared" ref="I64:I80" si="112">SUM(L64,N64,P64,R64,T64)</f>
        <v>3.371688692472475E-3</v>
      </c>
      <c r="J64" s="65"/>
      <c r="K64" s="90">
        <f t="shared" ref="K64:K79" si="113">SUM(M64,O64,Q64,S64,U64)</f>
        <v>7.4274886706999295E-4</v>
      </c>
      <c r="L64" s="65">
        <f t="shared" ref="L64:L80" si="114">EXP(-$F64)*POWER($F64,1)</f>
        <v>3.3659981509752139E-3</v>
      </c>
      <c r="M64" s="65">
        <f t="shared" ref="M64:M80" si="115">EXP(-$G64)*POWER($G64,1)</f>
        <v>7.4247296081208028E-4</v>
      </c>
      <c r="N64" s="65">
        <f t="shared" ref="N64:N80" si="116">EXP(-$F64)*POWER($F64,2)/FACT(2)</f>
        <v>5.6841369163516076E-6</v>
      </c>
      <c r="O64" s="65">
        <f t="shared" ref="O64:O80" si="117">EXP(-$G64)*POWER($G64,2)/FACT(2)</f>
        <v>2.758379270763594E-7</v>
      </c>
      <c r="P64" s="65">
        <f t="shared" ref="P64:P80" si="118">EXP(-$F64)*POWER($F64,3)/FACT(3)</f>
        <v>6.3991741398650333E-9</v>
      </c>
      <c r="Q64" s="65">
        <f t="shared" ref="Q64:Q80" si="119">EXP(-$G64)*POWER($G64,3)/FACT(3)</f>
        <v>6.8318144030963081E-11</v>
      </c>
      <c r="R64" s="65">
        <f t="shared" ref="R64:R80" si="120">EXP(-$F64)*POWER($F64,4)/FACT(4)</f>
        <v>5.4031197182967827E-12</v>
      </c>
      <c r="S64" s="65">
        <f t="shared" ref="S64:S80" si="121">EXP(-$G64)*POWER($G64,4)/FACT(4)</f>
        <v>1.2690519537973188E-14</v>
      </c>
      <c r="T64" s="65">
        <f t="shared" ref="T64:T80" si="122">EXP(-$F64)*POWER($F64,5)/FACT(5)</f>
        <v>3.6496837938357138E-15</v>
      </c>
      <c r="U64" s="65">
        <f t="shared" ref="U64:U80" si="123">EXP(-$G64)*POWER($G64,5)/FACT(5)</f>
        <v>1.8858742540861604E-18</v>
      </c>
      <c r="V64" s="68"/>
      <c r="W64" s="62">
        <f>ROUNDUP($G$3/$P$13,0)</f>
        <v>1193</v>
      </c>
      <c r="X64" s="63">
        <v>30</v>
      </c>
      <c r="Y64" s="86">
        <f t="shared" ref="Y64:Y80" si="124">((X64^2)*3.1428)/1000000</f>
        <v>2.8285200000000002E-3</v>
      </c>
      <c r="Z64" s="65">
        <f>W64/(839/$Y64)</f>
        <v>4.0219599046483912E-3</v>
      </c>
      <c r="AA64" s="65">
        <f>1*$Z64</f>
        <v>4.0219599046483912E-3</v>
      </c>
      <c r="AB64" s="65">
        <f>1*($Z64-($Z64*0.78))</f>
        <v>8.8483117902264609E-4</v>
      </c>
      <c r="AC64" s="65">
        <f t="shared" ref="AC64:AC80" si="125">EXP(-$AA64)</f>
        <v>0.99598611734367082</v>
      </c>
      <c r="AD64" s="65">
        <f t="shared" ref="AD64:AD80" si="126">SUM(AG64,AI64,AK64,AM64,AO64)</f>
        <v>4.0138826563291532E-3</v>
      </c>
      <c r="AE64" s="65">
        <f>EXP(-AB64)</f>
        <v>0.999115560168651</v>
      </c>
      <c r="AF64" s="65">
        <f>SUM(AH64,AJ64,AL64,AN64,AP64)</f>
        <v>8.8443983134901252E-4</v>
      </c>
      <c r="AG64" s="154">
        <f t="shared" ref="AG64:AG80" si="127">EXP(-$AA64)*POWER($AA64,1)</f>
        <v>4.0058162295426719E-3</v>
      </c>
      <c r="AH64" s="154">
        <f>EXP(-$AB64)*POWER($AB64,1)</f>
        <v>8.8404859908389893E-4</v>
      </c>
      <c r="AI64" s="154">
        <f t="shared" ref="AI64:AI80" si="128">EXP(-$AA64)*POWER($AA64,2)/FACT(2)</f>
        <v>8.0556161303052108E-6</v>
      </c>
      <c r="AJ64" s="154">
        <f>EXP(-$AB64)*POWER($AB64,2)/FACT(2)</f>
        <v>3.9111688212036247E-7</v>
      </c>
      <c r="AK64" s="154">
        <f t="shared" ref="AK64:AK80" si="129">EXP(-$AA64)*POWER($AA64,3)/FACT(3)</f>
        <v>1.0799788361108796E-8</v>
      </c>
      <c r="AL64" s="154">
        <f>EXP(-$AB64)*POWER($AB64,3)/FACT(3)</f>
        <v>1.1535747064740719E-10</v>
      </c>
      <c r="AM64" s="154">
        <f t="shared" ref="AM64:AM80" si="130">EXP(-$AA64)*POWER($AA64,4)/FACT(4)</f>
        <v>1.0859078941766984E-11</v>
      </c>
      <c r="AN64" s="154">
        <f>EXP(-$AB64)*POWER($AB64,4)/FACT(4)</f>
        <v>2.5517971690503901E-14</v>
      </c>
      <c r="AO64" s="154">
        <f t="shared" ref="AO64:AO80" si="131">EXP(-$AA64)*POWER($AA64,5)/FACT(5)</f>
        <v>8.7349560210396999E-15</v>
      </c>
      <c r="AP64" s="154">
        <f>EXP(-$AB64)*POWER($AB64,5)/FACT(5)</f>
        <v>4.5158193954350141E-18</v>
      </c>
      <c r="AQ64" s="68"/>
      <c r="AR64" s="62">
        <f>ROUNDUP($G$5/$P$13,0)</f>
        <v>491</v>
      </c>
      <c r="AS64" s="63">
        <v>30</v>
      </c>
      <c r="AT64" s="64">
        <f t="shared" ref="AT64:AT85" si="132">((AS64^2)*3.1428)/1000000</f>
        <v>2.8285200000000002E-3</v>
      </c>
      <c r="AU64" s="65">
        <f t="shared" ref="AU64:AU85" si="133">AR64/(1458/$AT64)</f>
        <v>9.5254000000000009E-4</v>
      </c>
      <c r="AV64" s="65">
        <f>1*AU64</f>
        <v>9.5254000000000009E-4</v>
      </c>
      <c r="AW64" s="65">
        <f>1*($AU64-($AU64*0.78))</f>
        <v>2.0955880000000004E-4</v>
      </c>
      <c r="AX64" s="65">
        <f t="shared" ref="AX64:AX85" si="134">EXP(-$AV64)</f>
        <v>0.999047913522215</v>
      </c>
      <c r="AY64" s="65">
        <f>SUM(BA64,BC64,BE64,BG64,BI64)</f>
        <v>9.5208647778497997E-4</v>
      </c>
      <c r="AZ64" s="65">
        <f>SUM(BB64,BD64,BF64,BH64,BJ64)</f>
        <v>2.0953684408838295E-4</v>
      </c>
      <c r="BA64" s="65">
        <f t="shared" ref="BA64:BA85" si="135">EXP(-$AV64)*POWER($AV64,1)</f>
        <v>9.5163309954645074E-4</v>
      </c>
      <c r="BB64" s="65">
        <f t="shared" ref="BB64:BB85" si="136">EXP(-$AW64)*POWER($AW64,1)</f>
        <v>2.095148897103971E-4</v>
      </c>
      <c r="BC64" s="65">
        <f t="shared" ref="BC64:BC85" si="137">EXP(-$AV64)*POWER($AV64,2)/FACT(2)</f>
        <v>4.5323429632098817E-7</v>
      </c>
      <c r="BD64" s="65">
        <f t="shared" ref="BD64:BD85" si="138">EXP(-$AW64)*POWER($AW64,2)/FACT(2)</f>
        <v>2.1952844434921585E-8</v>
      </c>
      <c r="BE64" s="65">
        <f t="shared" ref="BE64:BE85" si="139">EXP(-$AV64)*POWER($AV64,3)/FACT(3)</f>
        <v>1.439079322058647E-10</v>
      </c>
      <c r="BF64" s="65">
        <f t="shared" ref="BF64:BF85" si="140">EXP(-$AW64)*POWER($AW64,3)/FACT(3)</f>
        <v>1.5334705787896153E-12</v>
      </c>
      <c r="BG64" s="65">
        <f t="shared" ref="BG64:BG85" si="141">EXP(-$AV64)*POWER($AV64,4)/FACT(4)</f>
        <v>3.4269515435843594E-14</v>
      </c>
      <c r="BH64" s="65">
        <f t="shared" ref="BH64:BH85" si="142">EXP(-$AW64)*POWER($AW64,4)/FACT(4)</f>
        <v>8.0338063581614342E-17</v>
      </c>
      <c r="BI64" s="65">
        <f t="shared" ref="BI64:BI85" si="143">EXP(-$AV64)*POWER($AV64,5)/FACT(5)</f>
        <v>6.5286168466516911E-18</v>
      </c>
      <c r="BJ64" s="65">
        <f t="shared" ref="BJ64:BJ85" si="144">EXP(-$AW64)*POWER($AW64,5)/FACT(5)</f>
        <v>3.3671096396973615E-21</v>
      </c>
    </row>
    <row r="65" spans="1:62" x14ac:dyDescent="0.3">
      <c r="A65" s="57"/>
      <c r="B65" s="62">
        <f t="shared" ref="B65:B118" si="145">ROUNDUP(1.84*($D$6/$P$13),0)</f>
        <v>4172</v>
      </c>
      <c r="C65" s="63">
        <v>60</v>
      </c>
      <c r="D65" s="64">
        <f t="shared" si="109"/>
        <v>1.1314080000000001E-2</v>
      </c>
      <c r="E65" s="65">
        <f t="shared" si="110"/>
        <v>1.3509542575844306E-2</v>
      </c>
      <c r="F65" s="65">
        <f t="shared" ref="F65:F118" si="146">1*E65</f>
        <v>1.3509542575844306E-2</v>
      </c>
      <c r="G65" s="65">
        <f t="shared" ref="G65:G118" si="147">1*($E65-($E65*0.78))</f>
        <v>2.9720993666857466E-3</v>
      </c>
      <c r="H65" s="65">
        <f t="shared" si="111"/>
        <v>0.98658130174591463</v>
      </c>
      <c r="I65" s="65">
        <f t="shared" si="112"/>
        <v>1.3418698254077066E-2</v>
      </c>
      <c r="J65" s="65"/>
      <c r="K65" s="90">
        <f t="shared" si="113"/>
        <v>2.9676870517249608E-3</v>
      </c>
      <c r="L65" s="65">
        <f t="shared" si="114"/>
        <v>1.3328262100468332E-2</v>
      </c>
      <c r="M65" s="65">
        <f t="shared" si="115"/>
        <v>2.9632791058787932E-3</v>
      </c>
      <c r="N65" s="65">
        <f t="shared" si="116"/>
        <v>9.0029362154144484E-5</v>
      </c>
      <c r="O65" s="65">
        <f t="shared" si="117"/>
        <v>4.403579976947734E-6</v>
      </c>
      <c r="P65" s="65">
        <f t="shared" si="118"/>
        <v>4.054185003658403E-7</v>
      </c>
      <c r="Q65" s="65">
        <f t="shared" si="119"/>
        <v>4.3626257535454654E-9</v>
      </c>
      <c r="R65" s="65">
        <f t="shared" si="120"/>
        <v>1.3692546229318173E-9</v>
      </c>
      <c r="S65" s="65">
        <f t="shared" si="121"/>
        <v>3.241539309799851E-12</v>
      </c>
      <c r="T65" s="65">
        <f t="shared" si="122"/>
        <v>3.6996007251338059E-12</v>
      </c>
      <c r="U65" s="65">
        <f t="shared" si="123"/>
        <v>1.9268353859486183E-15</v>
      </c>
      <c r="V65" s="68"/>
      <c r="W65" s="62">
        <f t="shared" ref="W65:W80" si="148">ROUNDUP($G$3/$P$13,0)</f>
        <v>1193</v>
      </c>
      <c r="X65" s="63">
        <v>60</v>
      </c>
      <c r="Y65" s="86">
        <f t="shared" si="124"/>
        <v>1.1314080000000001E-2</v>
      </c>
      <c r="Z65" s="65">
        <f t="shared" ref="Z65:Z80" si="149">W65/(839/$Y65)</f>
        <v>1.6087839618593565E-2</v>
      </c>
      <c r="AA65" s="65">
        <f t="shared" ref="AA65:AA79" si="150">1*$Z65</f>
        <v>1.6087839618593565E-2</v>
      </c>
      <c r="AB65" s="65">
        <f t="shared" ref="AB65:AB80" si="151">1*($Z65-($Z65*0.78))</f>
        <v>3.5393247160905843E-3</v>
      </c>
      <c r="AC65" s="65">
        <f t="shared" si="125"/>
        <v>0.98404087848339683</v>
      </c>
      <c r="AD65" s="65">
        <f t="shared" si="126"/>
        <v>1.5959121516579362E-2</v>
      </c>
      <c r="AE65" s="65">
        <f t="shared" ref="AE65:AE80" si="152">EXP(-AB65)</f>
        <v>0.99646693131075248</v>
      </c>
      <c r="AF65" s="65">
        <f t="shared" ref="AF65:AF79" si="153">SUM(AH65,AJ65,AL65,AN65,AP65)</f>
        <v>3.5330686892474719E-3</v>
      </c>
      <c r="AG65" s="154">
        <f t="shared" si="127"/>
        <v>1.5831091831180807E-2</v>
      </c>
      <c r="AH65" s="154">
        <f t="shared" ref="AH65:AH80" si="154">EXP(-$AB65)*POWER($AB65,1)</f>
        <v>3.526820038755085E-3</v>
      </c>
      <c r="AI65" s="154">
        <f t="shared" si="128"/>
        <v>1.2734403318363175E-4</v>
      </c>
      <c r="AJ65" s="154">
        <f t="shared" ref="AJ65:AJ80" si="155">EXP(-$AB65)*POWER($AB65,2)/FACT(2)</f>
        <v>6.2412806661847123E-6</v>
      </c>
      <c r="AK65" s="154">
        <f t="shared" si="129"/>
        <v>6.8289679408104154E-7</v>
      </c>
      <c r="AL65" s="154">
        <f t="shared" ref="AL65:AL80" si="156">EXP(-$AB65)*POWER($AB65,3)/FACT(3)</f>
        <v>7.3633063072952867E-9</v>
      </c>
      <c r="AM65" s="154">
        <f t="shared" si="130"/>
        <v>2.7465835248068779E-9</v>
      </c>
      <c r="AN65" s="154">
        <f t="shared" ref="AN65:AN80" si="157">EXP(-$AB65)*POWER($AB65,4)/FACT(4)</f>
        <v>6.5152830013889758E-12</v>
      </c>
      <c r="AO65" s="154">
        <f t="shared" si="131"/>
        <v>8.8373190492328906E-12</v>
      </c>
      <c r="AP65" s="154">
        <f t="shared" ref="AP65:AP80" si="158">EXP(-$AB65)*POWER($AB65,5)/FACT(5)</f>
        <v>4.6119404318281691E-15</v>
      </c>
      <c r="AQ65" s="68"/>
      <c r="AR65" s="62">
        <f t="shared" ref="AR65:AR85" si="159">ROUNDUP($G$5/$P$13,0)</f>
        <v>491</v>
      </c>
      <c r="AS65" s="63">
        <v>60</v>
      </c>
      <c r="AT65" s="64">
        <f t="shared" si="132"/>
        <v>1.1314080000000001E-2</v>
      </c>
      <c r="AU65" s="65">
        <f t="shared" si="133"/>
        <v>3.8101600000000004E-3</v>
      </c>
      <c r="AV65" s="65">
        <f t="shared" ref="AV65:AV85" si="160">1*AU65</f>
        <v>3.8101600000000004E-3</v>
      </c>
      <c r="AW65" s="65">
        <f t="shared" ref="AW65:AW85" si="161">1*($AU65-($AU65*0.78))</f>
        <v>8.3823520000000018E-4</v>
      </c>
      <c r="AX65" s="65">
        <f t="shared" si="134"/>
        <v>0.99619708944950258</v>
      </c>
      <c r="AY65" s="65">
        <f t="shared" ref="AY65:AZ80" si="162">SUM(BA65,BC65,BE65,BG65,BI65)</f>
        <v>3.8029105504973639E-3</v>
      </c>
      <c r="AZ65" s="65">
        <f t="shared" si="162"/>
        <v>8.3788397901685911E-4</v>
      </c>
      <c r="BA65" s="65">
        <f t="shared" si="135"/>
        <v>3.7956703023369173E-3</v>
      </c>
      <c r="BB65" s="65">
        <f t="shared" si="136"/>
        <v>8.3753285615527221E-4</v>
      </c>
      <c r="BC65" s="65">
        <f t="shared" si="137"/>
        <v>7.2310555795760146E-6</v>
      </c>
      <c r="BD65" s="65">
        <f t="shared" si="138"/>
        <v>3.5102476059294301E-7</v>
      </c>
      <c r="BE65" s="65">
        <f t="shared" si="139"/>
        <v>9.1838262423591174E-9</v>
      </c>
      <c r="BF65" s="65">
        <f t="shared" si="140"/>
        <v>9.8080436800192571E-11</v>
      </c>
      <c r="BG65" s="65">
        <f t="shared" si="141"/>
        <v>8.7479618488967544E-12</v>
      </c>
      <c r="BH65" s="65">
        <f t="shared" si="142"/>
        <v>2.0553618639324205E-14</v>
      </c>
      <c r="BI65" s="65">
        <f t="shared" si="143"/>
        <v>6.6662268636384916E-15</v>
      </c>
      <c r="BJ65" s="65">
        <f t="shared" si="144"/>
        <v>3.4457533261715311E-18</v>
      </c>
    </row>
    <row r="66" spans="1:62" x14ac:dyDescent="0.3">
      <c r="A66" s="76"/>
      <c r="B66" s="62">
        <f t="shared" si="145"/>
        <v>4172</v>
      </c>
      <c r="C66" s="63">
        <v>90</v>
      </c>
      <c r="D66" s="64">
        <f t="shared" si="109"/>
        <v>2.5456679999999999E-2</v>
      </c>
      <c r="E66" s="65">
        <f t="shared" si="110"/>
        <v>3.0396470795649683E-2</v>
      </c>
      <c r="F66" s="65">
        <f t="shared" si="146"/>
        <v>3.0396470795649683E-2</v>
      </c>
      <c r="G66" s="65">
        <f t="shared" si="147"/>
        <v>6.687223575042929E-3</v>
      </c>
      <c r="H66" s="65">
        <f t="shared" si="111"/>
        <v>0.97006085649733476</v>
      </c>
      <c r="I66" s="65">
        <f t="shared" si="112"/>
        <v>2.9939143501597969E-2</v>
      </c>
      <c r="J66" s="65"/>
      <c r="K66" s="90">
        <f t="shared" si="113"/>
        <v>6.6649138532047349E-3</v>
      </c>
      <c r="L66" s="65">
        <f t="shared" si="114"/>
        <v>2.9486426494524154E-2</v>
      </c>
      <c r="M66" s="65">
        <f t="shared" si="115"/>
        <v>6.6426538059981468E-3</v>
      </c>
      <c r="N66" s="65">
        <f t="shared" si="116"/>
        <v>4.4814165090443727E-4</v>
      </c>
      <c r="O66" s="65">
        <f t="shared" si="117"/>
        <v>2.2210455566159726E-5</v>
      </c>
      <c r="P66" s="65">
        <f t="shared" si="118"/>
        <v>4.540641534676988E-6</v>
      </c>
      <c r="Q66" s="65">
        <f t="shared" si="119"/>
        <v>4.9508760691488919E-8</v>
      </c>
      <c r="R66" s="65">
        <f t="shared" si="120"/>
        <v>3.4504869450580756E-8</v>
      </c>
      <c r="S66" s="65">
        <f t="shared" si="121"/>
        <v>8.276903791682084E-11</v>
      </c>
      <c r="T66" s="65">
        <f t="shared" si="122"/>
        <v>2.0976525131245656E-10</v>
      </c>
      <c r="U66" s="65">
        <f t="shared" si="123"/>
        <v>1.1069901232819727E-13</v>
      </c>
      <c r="V66" s="68"/>
      <c r="W66" s="62">
        <f t="shared" si="148"/>
        <v>1193</v>
      </c>
      <c r="X66" s="63">
        <v>90</v>
      </c>
      <c r="Y66" s="86">
        <f t="shared" si="124"/>
        <v>2.5456679999999999E-2</v>
      </c>
      <c r="Z66" s="65">
        <f t="shared" si="149"/>
        <v>3.6197639141835519E-2</v>
      </c>
      <c r="AA66" s="65">
        <f t="shared" si="150"/>
        <v>3.6197639141835519E-2</v>
      </c>
      <c r="AB66" s="65">
        <f t="shared" si="151"/>
        <v>7.9634806112038117E-3</v>
      </c>
      <c r="AC66" s="65">
        <f t="shared" si="125"/>
        <v>0.96444966164211632</v>
      </c>
      <c r="AD66" s="65">
        <f t="shared" si="126"/>
        <v>3.5550338354854827E-2</v>
      </c>
      <c r="AE66" s="65">
        <f t="shared" si="152"/>
        <v>0.9920681438977843</v>
      </c>
      <c r="AF66" s="65">
        <f t="shared" si="153"/>
        <v>7.9318561022153067E-3</v>
      </c>
      <c r="AG66" s="154">
        <f t="shared" si="127"/>
        <v>3.4910800822586692E-2</v>
      </c>
      <c r="AH66" s="154">
        <f t="shared" si="154"/>
        <v>7.9003154289229577E-3</v>
      </c>
      <c r="AI66" s="154">
        <f t="shared" si="128"/>
        <v>6.3184428516424378E-4</v>
      </c>
      <c r="AJ66" s="154">
        <f t="shared" si="155"/>
        <v>3.1457004370311147E-5</v>
      </c>
      <c r="AK66" s="154">
        <f t="shared" si="129"/>
        <v>7.6237571427354384E-6</v>
      </c>
      <c r="AL66" s="154">
        <f t="shared" si="156"/>
        <v>8.3502414796508804E-8</v>
      </c>
      <c r="AM66" s="154">
        <f t="shared" si="130"/>
        <v>6.8990502489432107E-8</v>
      </c>
      <c r="AN66" s="154">
        <f t="shared" si="157"/>
        <v>1.66242465305174E-10</v>
      </c>
      <c r="AO66" s="154">
        <f t="shared" si="131"/>
        <v>4.9945866266527362E-10</v>
      </c>
      <c r="AP66" s="154">
        <f t="shared" si="158"/>
        <v>2.6477372984329513E-13</v>
      </c>
      <c r="AQ66" s="68"/>
      <c r="AR66" s="62">
        <f t="shared" si="159"/>
        <v>491</v>
      </c>
      <c r="AS66" s="63">
        <v>90</v>
      </c>
      <c r="AT66" s="64">
        <f t="shared" si="132"/>
        <v>2.5456679999999999E-2</v>
      </c>
      <c r="AU66" s="65">
        <f t="shared" si="133"/>
        <v>8.5728599999999999E-3</v>
      </c>
      <c r="AV66" s="65">
        <f t="shared" si="160"/>
        <v>8.5728599999999999E-3</v>
      </c>
      <c r="AW66" s="65">
        <f t="shared" si="161"/>
        <v>1.8860292000000001E-3</v>
      </c>
      <c r="AX66" s="65">
        <f t="shared" si="134"/>
        <v>0.99146378218010089</v>
      </c>
      <c r="AY66" s="65">
        <f t="shared" si="162"/>
        <v>8.5362178198985054E-3</v>
      </c>
      <c r="AZ66" s="65">
        <f t="shared" si="162"/>
        <v>1.8842517645357064E-3</v>
      </c>
      <c r="BA66" s="65">
        <f t="shared" si="135"/>
        <v>8.4996801997005E-3</v>
      </c>
      <c r="BB66" s="65">
        <f t="shared" si="136"/>
        <v>1.8824754461519344E-3</v>
      </c>
      <c r="BC66" s="65">
        <f t="shared" si="137"/>
        <v>3.6433284198402213E-5</v>
      </c>
      <c r="BD66" s="65">
        <f t="shared" si="138"/>
        <v>1.7752018298627881E-6</v>
      </c>
      <c r="BE66" s="65">
        <f t="shared" si="139"/>
        <v>1.0411248159103813E-7</v>
      </c>
      <c r="BF66" s="65">
        <f t="shared" si="140"/>
        <v>1.1160274956715501E-9</v>
      </c>
      <c r="BG66" s="65">
        <f t="shared" si="141"/>
        <v>2.2313543223313676E-10</v>
      </c>
      <c r="BH66" s="65">
        <f t="shared" si="142"/>
        <v>5.2621511120985427E-13</v>
      </c>
      <c r="BI66" s="65">
        <f t="shared" si="143"/>
        <v>3.8258176431483374E-13</v>
      </c>
      <c r="BJ66" s="65">
        <f t="shared" si="144"/>
        <v>1.9849141304460651E-16</v>
      </c>
    </row>
    <row r="67" spans="1:62" x14ac:dyDescent="0.3">
      <c r="A67" s="38"/>
      <c r="B67" s="62">
        <f t="shared" si="145"/>
        <v>4172</v>
      </c>
      <c r="C67" s="63">
        <v>120</v>
      </c>
      <c r="D67" s="64">
        <f t="shared" si="109"/>
        <v>4.5256320000000003E-2</v>
      </c>
      <c r="E67" s="65">
        <f t="shared" si="110"/>
        <v>5.4038170303377223E-2</v>
      </c>
      <c r="F67" s="65">
        <f t="shared" si="146"/>
        <v>5.4038170303377223E-2</v>
      </c>
      <c r="G67" s="65">
        <f t="shared" si="147"/>
        <v>1.1888397466742986E-2</v>
      </c>
      <c r="H67" s="65">
        <f t="shared" si="111"/>
        <v>0.94739594342104605</v>
      </c>
      <c r="I67" s="65">
        <f t="shared" si="112"/>
        <v>5.2604056545934821E-2</v>
      </c>
      <c r="J67" s="65"/>
      <c r="K67" s="90">
        <f t="shared" si="113"/>
        <v>1.1818009678363118E-2</v>
      </c>
      <c r="L67" s="65">
        <f t="shared" si="114"/>
        <v>5.1195543335315216E-2</v>
      </c>
      <c r="M67" s="65">
        <f t="shared" si="115"/>
        <v>1.1747900270420743E-2</v>
      </c>
      <c r="N67" s="65">
        <f t="shared" si="116"/>
        <v>1.3832567447638461E-3</v>
      </c>
      <c r="O67" s="65">
        <f t="shared" si="117"/>
        <v>6.983185390720962E-5</v>
      </c>
      <c r="P67" s="65">
        <f t="shared" si="118"/>
        <v>2.4916221182281305E-5</v>
      </c>
      <c r="Q67" s="65">
        <f t="shared" si="119"/>
        <v>2.7672961169614571E-7</v>
      </c>
      <c r="R67" s="65">
        <f t="shared" si="120"/>
        <v>3.3660675089118302E-7</v>
      </c>
      <c r="S67" s="65">
        <f t="shared" si="121"/>
        <v>8.224679036653073E-10</v>
      </c>
      <c r="T67" s="65">
        <f t="shared" si="122"/>
        <v>3.6379225859848442E-9</v>
      </c>
      <c r="U67" s="65">
        <f t="shared" si="123"/>
        <v>1.9555650684824108E-12</v>
      </c>
      <c r="V67" s="38"/>
      <c r="W67" s="62">
        <f t="shared" si="148"/>
        <v>1193</v>
      </c>
      <c r="X67" s="63">
        <v>120</v>
      </c>
      <c r="Y67" s="86">
        <f t="shared" si="124"/>
        <v>4.5256320000000003E-2</v>
      </c>
      <c r="Z67" s="65">
        <f t="shared" si="149"/>
        <v>6.4351358474374259E-2</v>
      </c>
      <c r="AA67" s="65">
        <f t="shared" si="150"/>
        <v>6.4351358474374259E-2</v>
      </c>
      <c r="AB67" s="65">
        <f t="shared" si="151"/>
        <v>1.4157298864362337E-2</v>
      </c>
      <c r="AC67" s="65">
        <f t="shared" si="125"/>
        <v>0.9376754814180196</v>
      </c>
      <c r="AD67" s="65">
        <f t="shared" si="126"/>
        <v>6.2324518488639347E-2</v>
      </c>
      <c r="AE67" s="65">
        <f t="shared" si="152"/>
        <v>0.98594244443783186</v>
      </c>
      <c r="AF67" s="65">
        <f t="shared" si="153"/>
        <v>1.4057555562157117E-2</v>
      </c>
      <c r="AG67" s="154">
        <f t="shared" si="127"/>
        <v>6.0340691037362441E-2</v>
      </c>
      <c r="AH67" s="154">
        <f t="shared" si="154"/>
        <v>1.3958281848966345E-2</v>
      </c>
      <c r="AI67" s="154">
        <f t="shared" si="128"/>
        <v>1.9415027197683861E-3</v>
      </c>
      <c r="AJ67" s="154">
        <f t="shared" si="155"/>
        <v>9.8805783884410331E-5</v>
      </c>
      <c r="AK67" s="154">
        <f t="shared" si="129"/>
        <v>4.1646112499596004E-5</v>
      </c>
      <c r="AL67" s="154">
        <f t="shared" si="156"/>
        <v>4.662743373263976E-7</v>
      </c>
      <c r="AM67" s="154">
        <f t="shared" si="130"/>
        <v>6.6999597863140532E-7</v>
      </c>
      <c r="AN67" s="154">
        <f t="shared" si="157"/>
        <v>1.6502962865780779E-9</v>
      </c>
      <c r="AO67" s="154">
        <f t="shared" si="131"/>
        <v>8.6230302794597507E-9</v>
      </c>
      <c r="AP67" s="154">
        <f t="shared" si="158"/>
        <v>4.6727475487666394E-12</v>
      </c>
      <c r="AQ67" s="38"/>
      <c r="AR67" s="62">
        <f t="shared" si="159"/>
        <v>491</v>
      </c>
      <c r="AS67" s="63">
        <v>120</v>
      </c>
      <c r="AT67" s="64">
        <f t="shared" si="132"/>
        <v>4.5256320000000003E-2</v>
      </c>
      <c r="AU67" s="65">
        <f t="shared" si="133"/>
        <v>1.5240640000000001E-2</v>
      </c>
      <c r="AV67" s="65">
        <f t="shared" si="160"/>
        <v>1.5240640000000001E-2</v>
      </c>
      <c r="AW67" s="65">
        <f t="shared" si="161"/>
        <v>3.3529408000000007E-3</v>
      </c>
      <c r="AX67" s="65">
        <f t="shared" si="134"/>
        <v>0.98487491078636757</v>
      </c>
      <c r="AY67" s="65">
        <f t="shared" si="162"/>
        <v>1.5125089213615201E-2</v>
      </c>
      <c r="AZ67" s="65">
        <f t="shared" si="162"/>
        <v>3.3473259711451243E-3</v>
      </c>
      <c r="BA67" s="65">
        <f t="shared" si="135"/>
        <v>1.5010123960327146E-2</v>
      </c>
      <c r="BB67" s="65">
        <f t="shared" si="136"/>
        <v>3.3417174141804483E-3</v>
      </c>
      <c r="BC67" s="65">
        <f t="shared" si="137"/>
        <v>1.1438194781736018E-4</v>
      </c>
      <c r="BD67" s="65">
        <f t="shared" si="138"/>
        <v>5.6022903300380631E-6</v>
      </c>
      <c r="BE67" s="65">
        <f t="shared" si="139"/>
        <v>5.8108469639439072E-7</v>
      </c>
      <c r="BF67" s="65">
        <f t="shared" si="140"/>
        <v>6.2613826070100299E-9</v>
      </c>
      <c r="BG67" s="65">
        <f t="shared" si="141"/>
        <v>2.2140256668140522E-9</v>
      </c>
      <c r="BH67" s="65">
        <f t="shared" si="142"/>
        <v>5.2485113018635755E-12</v>
      </c>
      <c r="BI67" s="65">
        <f t="shared" si="143"/>
        <v>6.7486336277345829E-12</v>
      </c>
      <c r="BJ67" s="65">
        <f t="shared" si="144"/>
        <v>3.5195895366559008E-15</v>
      </c>
    </row>
    <row r="68" spans="1:62" x14ac:dyDescent="0.3">
      <c r="A68" s="91"/>
      <c r="B68" s="62">
        <f t="shared" si="145"/>
        <v>4172</v>
      </c>
      <c r="C68" s="73">
        <v>150</v>
      </c>
      <c r="D68" s="64">
        <f t="shared" si="109"/>
        <v>7.0712999999999998E-2</v>
      </c>
      <c r="E68" s="65">
        <f t="shared" si="110"/>
        <v>8.4434641099026903E-2</v>
      </c>
      <c r="F68" s="65">
        <f t="shared" si="146"/>
        <v>8.4434641099026903E-2</v>
      </c>
      <c r="G68" s="65">
        <f t="shared" si="147"/>
        <v>1.8575621041785922E-2</v>
      </c>
      <c r="H68" s="65">
        <f t="shared" si="111"/>
        <v>0.91903172031712044</v>
      </c>
      <c r="I68" s="74">
        <f t="shared" si="112"/>
        <v>8.096827921473039E-2</v>
      </c>
      <c r="J68" s="74"/>
      <c r="K68" s="90">
        <f t="shared" si="113"/>
        <v>1.8404157515093049E-2</v>
      </c>
      <c r="L68" s="65">
        <f t="shared" si="114"/>
        <v>7.7598113463597337E-2</v>
      </c>
      <c r="M68" s="65">
        <f t="shared" si="115"/>
        <v>1.8233752386191175E-2</v>
      </c>
      <c r="N68" s="65">
        <f t="shared" si="116"/>
        <v>3.2759844301302045E-3</v>
      </c>
      <c r="O68" s="65">
        <f t="shared" si="117"/>
        <v>1.693516372478235E-4</v>
      </c>
      <c r="P68" s="65">
        <f t="shared" si="118"/>
        <v>9.2202189868014658E-5</v>
      </c>
      <c r="Q68" s="65">
        <f t="shared" si="119"/>
        <v>1.0486039454405224E-6</v>
      </c>
      <c r="R68" s="65">
        <f t="shared" si="120"/>
        <v>1.9462647025125379E-6</v>
      </c>
      <c r="S68" s="65">
        <f t="shared" si="121"/>
        <v>4.8696173783561761E-9</v>
      </c>
      <c r="T68" s="65">
        <f t="shared" si="122"/>
        <v>3.2866432328070105E-8</v>
      </c>
      <c r="U68" s="65">
        <f t="shared" si="123"/>
        <v>1.8091233407767876E-11</v>
      </c>
      <c r="V68" s="76"/>
      <c r="W68" s="62">
        <f t="shared" si="148"/>
        <v>1193</v>
      </c>
      <c r="X68" s="63">
        <v>150</v>
      </c>
      <c r="Y68" s="86">
        <f t="shared" si="124"/>
        <v>7.0712999999999998E-2</v>
      </c>
      <c r="Z68" s="65">
        <f t="shared" si="149"/>
        <v>0.10054899761620978</v>
      </c>
      <c r="AA68" s="65">
        <f t="shared" si="150"/>
        <v>0.10054899761620978</v>
      </c>
      <c r="AB68" s="65">
        <f t="shared" si="151"/>
        <v>2.2120779475566149E-2</v>
      </c>
      <c r="AC68" s="65">
        <f t="shared" si="125"/>
        <v>0.90434080078371759</v>
      </c>
      <c r="AD68" s="65">
        <f t="shared" si="126"/>
        <v>9.5659197899426854E-2</v>
      </c>
      <c r="AE68" s="65">
        <f t="shared" si="152"/>
        <v>0.97812209084348423</v>
      </c>
      <c r="AF68" s="65">
        <f t="shared" si="153"/>
        <v>2.1877909156356123E-2</v>
      </c>
      <c r="AG68" s="154">
        <f t="shared" si="127"/>
        <v>9.0930561022243256E-2</v>
      </c>
      <c r="AH68" s="154">
        <f t="shared" si="154"/>
        <v>2.1636823071728394E-2</v>
      </c>
      <c r="AI68" s="154">
        <f t="shared" si="128"/>
        <v>4.5714883817330777E-3</v>
      </c>
      <c r="AJ68" s="154">
        <f t="shared" si="155"/>
        <v>2.3931169586077281E-4</v>
      </c>
      <c r="AK68" s="154">
        <f t="shared" si="129"/>
        <v>1.5321952479913664E-4</v>
      </c>
      <c r="AL68" s="154">
        <f t="shared" si="156"/>
        <v>1.7645870833533041E-6</v>
      </c>
      <c r="AM68" s="154">
        <f t="shared" si="130"/>
        <v>3.8515174084462965E-6</v>
      </c>
      <c r="AN68" s="154">
        <f t="shared" si="157"/>
        <v>9.7585104340727268E-9</v>
      </c>
      <c r="AO68" s="154">
        <f t="shared" si="131"/>
        <v>7.7453242944131434E-8</v>
      </c>
      <c r="AP68" s="154">
        <f t="shared" si="158"/>
        <v>4.3173171464426817E-11</v>
      </c>
      <c r="AQ68" s="76"/>
      <c r="AR68" s="62">
        <f t="shared" si="159"/>
        <v>491</v>
      </c>
      <c r="AS68" s="63">
        <v>150</v>
      </c>
      <c r="AT68" s="64">
        <f t="shared" si="132"/>
        <v>7.0712999999999998E-2</v>
      </c>
      <c r="AU68" s="65">
        <f t="shared" si="133"/>
        <v>2.3813500000000001E-2</v>
      </c>
      <c r="AV68" s="65">
        <f t="shared" si="160"/>
        <v>2.3813500000000001E-2</v>
      </c>
      <c r="AW68" s="65">
        <f t="shared" si="161"/>
        <v>5.238969999999999E-3</v>
      </c>
      <c r="AX68" s="65">
        <f t="shared" si="134"/>
        <v>0.97646780402254152</v>
      </c>
      <c r="AY68" s="65">
        <f t="shared" si="162"/>
        <v>2.3532195977210294E-2</v>
      </c>
      <c r="AZ68" s="65">
        <f t="shared" si="162"/>
        <v>5.2252705308131961E-3</v>
      </c>
      <c r="BA68" s="65">
        <f t="shared" si="135"/>
        <v>2.3253116051090792E-2</v>
      </c>
      <c r="BB68" s="65">
        <f t="shared" si="136"/>
        <v>5.2115949644471844E-3</v>
      </c>
      <c r="BC68" s="65">
        <f t="shared" si="137"/>
        <v>2.768690395413253E-4</v>
      </c>
      <c r="BD68" s="65">
        <f t="shared" si="138"/>
        <v>1.365169483544493E-5</v>
      </c>
      <c r="BE68" s="65">
        <f t="shared" si="139"/>
        <v>2.1977402910391167E-6</v>
      </c>
      <c r="BF68" s="65">
        <f t="shared" si="140"/>
        <v>2.3840273230683641E-8</v>
      </c>
      <c r="BG68" s="65">
        <f t="shared" si="141"/>
        <v>1.3083972105165003E-8</v>
      </c>
      <c r="BH68" s="65">
        <f t="shared" si="142"/>
        <v>3.1224619061838666E-11</v>
      </c>
      <c r="BI68" s="65">
        <f t="shared" si="143"/>
        <v>6.2315033945269363E-11</v>
      </c>
      <c r="BJ68" s="65">
        <f t="shared" si="144"/>
        <v>3.2716968505280173E-14</v>
      </c>
    </row>
    <row r="69" spans="1:62" x14ac:dyDescent="0.3">
      <c r="A69" s="91"/>
      <c r="B69" s="62">
        <f t="shared" si="145"/>
        <v>4172</v>
      </c>
      <c r="C69" s="63">
        <v>180</v>
      </c>
      <c r="D69" s="64">
        <f t="shared" si="109"/>
        <v>0.10182672</v>
      </c>
      <c r="E69" s="65">
        <f t="shared" si="110"/>
        <v>0.12158588318259873</v>
      </c>
      <c r="F69" s="65">
        <f t="shared" si="146"/>
        <v>0.12158588318259873</v>
      </c>
      <c r="G69" s="65">
        <f t="shared" si="147"/>
        <v>2.6748894300171716E-2</v>
      </c>
      <c r="H69" s="65">
        <f t="shared" si="111"/>
        <v>0.88551499923665611</v>
      </c>
      <c r="I69" s="65">
        <f t="shared" si="112"/>
        <v>0.1144849967198644</v>
      </c>
      <c r="J69" s="65"/>
      <c r="K69" s="90">
        <f t="shared" si="113"/>
        <v>2.6394311229663417E-2</v>
      </c>
      <c r="L69" s="65">
        <f t="shared" si="114"/>
        <v>0.10766612325362708</v>
      </c>
      <c r="M69" s="65">
        <f t="shared" si="115"/>
        <v>2.6042875658950315E-2</v>
      </c>
      <c r="N69" s="65">
        <f t="shared" si="116"/>
        <v>6.54534034231939E-3</v>
      </c>
      <c r="O69" s="65">
        <f t="shared" si="117"/>
        <v>3.4830906413688839E-4</v>
      </c>
      <c r="P69" s="65">
        <f t="shared" si="118"/>
        <v>2.6527366208386539E-4</v>
      </c>
      <c r="Q69" s="65">
        <f t="shared" si="119"/>
        <v>3.105627446796453E-6</v>
      </c>
      <c r="R69" s="65">
        <f t="shared" si="120"/>
        <v>8.0633831223872568E-6</v>
      </c>
      <c r="S69" s="65">
        <f t="shared" si="121"/>
        <v>2.0768025077517622E-8</v>
      </c>
      <c r="T69" s="65">
        <f t="shared" si="122"/>
        <v>1.9607871167502306E-7</v>
      </c>
      <c r="U69" s="65">
        <f t="shared" si="123"/>
        <v>1.1110434152436687E-10</v>
      </c>
      <c r="V69" s="76"/>
      <c r="W69" s="62">
        <f t="shared" si="148"/>
        <v>1193</v>
      </c>
      <c r="X69" s="63">
        <v>180</v>
      </c>
      <c r="Y69" s="86">
        <f t="shared" si="124"/>
        <v>0.10182672</v>
      </c>
      <c r="Z69" s="65">
        <f t="shared" si="149"/>
        <v>0.14479055656734208</v>
      </c>
      <c r="AA69" s="65">
        <f t="shared" si="150"/>
        <v>0.14479055656734208</v>
      </c>
      <c r="AB69" s="65">
        <f t="shared" si="151"/>
        <v>3.1853922444815247E-2</v>
      </c>
      <c r="AC69" s="65">
        <f t="shared" si="125"/>
        <v>0.8652034853232331</v>
      </c>
      <c r="AD69" s="65">
        <f t="shared" si="126"/>
        <v>0.13479650337150803</v>
      </c>
      <c r="AE69" s="65">
        <f t="shared" si="152"/>
        <v>0.96864806948670379</v>
      </c>
      <c r="AF69" s="65">
        <f t="shared" si="153"/>
        <v>3.1351930511884396E-2</v>
      </c>
      <c r="AG69" s="154">
        <f t="shared" si="127"/>
        <v>0.12527329418395511</v>
      </c>
      <c r="AH69" s="154">
        <f t="shared" si="154"/>
        <v>3.0855240481749473E-2</v>
      </c>
      <c r="AI69" s="154">
        <f t="shared" si="128"/>
        <v>9.0691949939596169E-3</v>
      </c>
      <c r="AJ69" s="154">
        <f t="shared" si="155"/>
        <v>4.9143021866088579E-4</v>
      </c>
      <c r="AK69" s="154">
        <f t="shared" si="129"/>
        <v>4.3771126359772185E-4</v>
      </c>
      <c r="AL69" s="154">
        <f t="shared" si="156"/>
        <v>5.2179933574208172E-6</v>
      </c>
      <c r="AM69" s="154">
        <f t="shared" si="130"/>
        <v>1.5844114368027181E-5</v>
      </c>
      <c r="AN69" s="154">
        <f t="shared" si="157"/>
        <v>4.1553388931210955E-8</v>
      </c>
      <c r="AO69" s="154">
        <f t="shared" si="131"/>
        <v>4.5881562753265534E-7</v>
      </c>
      <c r="AP69" s="154">
        <f t="shared" si="158"/>
        <v>2.6472768566680761E-10</v>
      </c>
      <c r="AQ69" s="76"/>
      <c r="AR69" s="62">
        <f t="shared" si="159"/>
        <v>491</v>
      </c>
      <c r="AS69" s="63">
        <v>180</v>
      </c>
      <c r="AT69" s="64">
        <f t="shared" si="132"/>
        <v>0.10182672</v>
      </c>
      <c r="AU69" s="65">
        <f t="shared" si="133"/>
        <v>3.4291439999999999E-2</v>
      </c>
      <c r="AV69" s="65">
        <f t="shared" si="160"/>
        <v>3.4291439999999999E-2</v>
      </c>
      <c r="AW69" s="65">
        <f t="shared" si="161"/>
        <v>7.5441168000000003E-3</v>
      </c>
      <c r="AX69" s="65">
        <f t="shared" si="134"/>
        <v>0.96628984808318175</v>
      </c>
      <c r="AY69" s="65">
        <f t="shared" si="162"/>
        <v>3.3710151914625293E-2</v>
      </c>
      <c r="AZ69" s="65">
        <f t="shared" si="162"/>
        <v>7.5157313766896355E-3</v>
      </c>
      <c r="BA69" s="65">
        <f t="shared" si="135"/>
        <v>3.3135470348153541E-2</v>
      </c>
      <c r="BB69" s="65">
        <f t="shared" si="136"/>
        <v>7.4874172446568266E-3</v>
      </c>
      <c r="BC69" s="65">
        <f t="shared" si="137"/>
        <v>5.6813149665774308E-4</v>
      </c>
      <c r="BD69" s="65">
        <f t="shared" si="138"/>
        <v>2.8242975112012642E-5</v>
      </c>
      <c r="BE69" s="65">
        <f t="shared" si="139"/>
        <v>6.4940157099164E-6</v>
      </c>
      <c r="BF69" s="65">
        <f t="shared" si="140"/>
        <v>7.1022767674838827E-8</v>
      </c>
      <c r="BG69" s="65">
        <f t="shared" si="141"/>
        <v>5.5672287518913903E-8</v>
      </c>
      <c r="BH69" s="65">
        <f t="shared" si="142"/>
        <v>1.3395101369956212E-10</v>
      </c>
      <c r="BI69" s="65">
        <f t="shared" si="143"/>
        <v>3.8181658142351693E-10</v>
      </c>
      <c r="BJ69" s="65">
        <f t="shared" si="144"/>
        <v>2.0210841856557935E-13</v>
      </c>
    </row>
    <row r="70" spans="1:62" x14ac:dyDescent="0.3">
      <c r="A70" s="91"/>
      <c r="B70" s="62">
        <f t="shared" si="145"/>
        <v>4172</v>
      </c>
      <c r="C70" s="63">
        <v>210</v>
      </c>
      <c r="D70" s="64">
        <f t="shared" si="109"/>
        <v>0.13859748</v>
      </c>
      <c r="E70" s="65">
        <f t="shared" si="110"/>
        <v>0.16549189655409272</v>
      </c>
      <c r="F70" s="65">
        <f t="shared" si="146"/>
        <v>0.16549189655409272</v>
      </c>
      <c r="G70" s="65">
        <f t="shared" si="147"/>
        <v>3.6408217241900381E-2</v>
      </c>
      <c r="H70" s="65">
        <f t="shared" si="111"/>
        <v>0.84747673065894213</v>
      </c>
      <c r="I70" s="65">
        <f t="shared" si="112"/>
        <v>0.15252324457738978</v>
      </c>
      <c r="J70" s="65"/>
      <c r="K70" s="90">
        <f t="shared" si="113"/>
        <v>3.5753408950244425E-2</v>
      </c>
      <c r="L70" s="65">
        <f t="shared" si="114"/>
        <v>0.14025053144221034</v>
      </c>
      <c r="M70" s="65">
        <f t="shared" si="115"/>
        <v>3.5106499361587218E-2</v>
      </c>
      <c r="N70" s="65">
        <f t="shared" si="116"/>
        <v>1.1605163220545401E-2</v>
      </c>
      <c r="O70" s="65">
        <f t="shared" si="117"/>
        <v>6.3908252767965216E-4</v>
      </c>
      <c r="P70" s="65">
        <f t="shared" si="118"/>
        <v>6.4018682372928698E-4</v>
      </c>
      <c r="Q70" s="65">
        <f t="shared" si="119"/>
        <v>7.7559518344211968E-6</v>
      </c>
      <c r="R70" s="65">
        <f t="shared" si="120"/>
        <v>2.6486432901975084E-5</v>
      </c>
      <c r="S70" s="65">
        <f t="shared" si="121"/>
        <v>7.0595094826330683E-8</v>
      </c>
      <c r="T70" s="65">
        <f t="shared" si="122"/>
        <v>8.7665800278011578E-7</v>
      </c>
      <c r="U70" s="65">
        <f t="shared" si="123"/>
        <v>5.14048309729921E-10</v>
      </c>
      <c r="V70" s="76"/>
      <c r="W70" s="62">
        <f t="shared" si="148"/>
        <v>1193</v>
      </c>
      <c r="X70" s="63">
        <v>210</v>
      </c>
      <c r="Y70" s="86">
        <f t="shared" si="124"/>
        <v>0.13859748</v>
      </c>
      <c r="Z70" s="65">
        <f t="shared" si="149"/>
        <v>0.19707603532777115</v>
      </c>
      <c r="AA70" s="65">
        <f t="shared" si="150"/>
        <v>0.19707603532777115</v>
      </c>
      <c r="AB70" s="65">
        <f t="shared" si="151"/>
        <v>4.3356727772109638E-2</v>
      </c>
      <c r="AC70" s="65">
        <f t="shared" si="125"/>
        <v>0.82112819618743516</v>
      </c>
      <c r="AD70" s="65">
        <f t="shared" si="126"/>
        <v>0.17887173506792844</v>
      </c>
      <c r="AE70" s="65">
        <f t="shared" si="152"/>
        <v>0.9575697374130917</v>
      </c>
      <c r="AF70" s="65">
        <f t="shared" si="153"/>
        <v>4.2430262578018858E-2</v>
      </c>
      <c r="AG70" s="154">
        <f t="shared" si="127"/>
        <v>0.16182468940046396</v>
      </c>
      <c r="AH70" s="154">
        <f t="shared" si="154"/>
        <v>4.1517090427829924E-2</v>
      </c>
      <c r="AI70" s="154">
        <f t="shared" si="128"/>
        <v>1.5945884102595714E-2</v>
      </c>
      <c r="AJ70" s="154">
        <f t="shared" si="155"/>
        <v>9.0002259378474045E-4</v>
      </c>
      <c r="AK70" s="154">
        <f t="shared" si="129"/>
        <v>1.0475172062452325E-3</v>
      </c>
      <c r="AL70" s="154">
        <f t="shared" si="156"/>
        <v>1.3007344862491002E-5</v>
      </c>
      <c r="AM70" s="154">
        <f t="shared" si="130"/>
        <v>5.1610134486108396E-5</v>
      </c>
      <c r="AN70" s="154">
        <f t="shared" si="157"/>
        <v>1.409889775602428E-7</v>
      </c>
      <c r="AO70" s="154">
        <f t="shared" si="131"/>
        <v>2.0342241374510638E-6</v>
      </c>
      <c r="AP70" s="154">
        <f t="shared" si="158"/>
        <v>1.2225641437895044E-9</v>
      </c>
      <c r="AQ70" s="76"/>
      <c r="AR70" s="62">
        <f t="shared" si="159"/>
        <v>491</v>
      </c>
      <c r="AS70" s="63">
        <v>210</v>
      </c>
      <c r="AT70" s="64">
        <f t="shared" si="132"/>
        <v>0.13859748</v>
      </c>
      <c r="AU70" s="65">
        <f t="shared" si="133"/>
        <v>4.6674460000000001E-2</v>
      </c>
      <c r="AV70" s="65">
        <f t="shared" si="160"/>
        <v>4.6674460000000001E-2</v>
      </c>
      <c r="AW70" s="65">
        <f t="shared" si="161"/>
        <v>1.0268381199999996E-2</v>
      </c>
      <c r="AX70" s="65">
        <f t="shared" si="134"/>
        <v>0.95439804176259124</v>
      </c>
      <c r="AY70" s="65">
        <f t="shared" si="162"/>
        <v>4.5601958223612071E-2</v>
      </c>
      <c r="AZ70" s="65">
        <f t="shared" si="162"/>
        <v>1.0215841360574667E-2</v>
      </c>
      <c r="BA70" s="65">
        <f t="shared" si="135"/>
        <v>4.4546013224326393E-2</v>
      </c>
      <c r="BB70" s="65">
        <f t="shared" si="136"/>
        <v>1.0163481046630871E-2</v>
      </c>
      <c r="BC70" s="65">
        <f t="shared" si="137"/>
        <v>1.0395805561991467E-3</v>
      </c>
      <c r="BD70" s="65">
        <f t="shared" si="138"/>
        <v>5.2181248852890362E-5</v>
      </c>
      <c r="BE70" s="65">
        <f t="shared" si="139"/>
        <v>1.6173953695698273E-5</v>
      </c>
      <c r="BF70" s="65">
        <f t="shared" si="140"/>
        <v>1.7860565157118027E-7</v>
      </c>
      <c r="BG70" s="65">
        <f t="shared" si="141"/>
        <v>1.8872763870293031E-7</v>
      </c>
      <c r="BH70" s="65">
        <f t="shared" si="142"/>
        <v>4.5849772870181431E-10</v>
      </c>
      <c r="BI70" s="65">
        <f t="shared" si="143"/>
        <v>1.7617521247068744E-9</v>
      </c>
      <c r="BJ70" s="65">
        <f t="shared" si="144"/>
        <v>9.4160589152888164E-13</v>
      </c>
    </row>
    <row r="71" spans="1:62" x14ac:dyDescent="0.3">
      <c r="A71" s="91"/>
      <c r="B71" s="62">
        <f t="shared" si="145"/>
        <v>4172</v>
      </c>
      <c r="C71" s="63">
        <v>240</v>
      </c>
      <c r="D71" s="64">
        <f t="shared" si="109"/>
        <v>0.18102528000000001</v>
      </c>
      <c r="E71" s="65">
        <f t="shared" si="110"/>
        <v>0.21615268121350889</v>
      </c>
      <c r="F71" s="65">
        <f t="shared" si="146"/>
        <v>0.21615268121350889</v>
      </c>
      <c r="G71" s="65">
        <f t="shared" si="147"/>
        <v>4.7553589866971946E-2</v>
      </c>
      <c r="H71" s="65">
        <f t="shared" si="111"/>
        <v>0.8056122906208153</v>
      </c>
      <c r="I71" s="65">
        <f t="shared" si="112"/>
        <v>0.19438759163892524</v>
      </c>
      <c r="J71" s="65"/>
      <c r="K71" s="90">
        <f t="shared" si="113"/>
        <v>4.6440629341052302E-2</v>
      </c>
      <c r="L71" s="65">
        <f t="shared" si="114"/>
        <v>0.17413525663624577</v>
      </c>
      <c r="M71" s="65">
        <f t="shared" si="115"/>
        <v>4.5345171225390224E-2</v>
      </c>
      <c r="N71" s="65">
        <f t="shared" si="116"/>
        <v>1.8819901307863495E-2</v>
      </c>
      <c r="O71" s="65">
        <f t="shared" si="117"/>
        <v>1.0781628374499123E-3</v>
      </c>
      <c r="P71" s="65">
        <f t="shared" si="118"/>
        <v>1.3559907092894387E-3</v>
      </c>
      <c r="Q71" s="65">
        <f t="shared" si="119"/>
        <v>1.7090171127301292E-5</v>
      </c>
      <c r="R71" s="65">
        <f t="shared" si="120"/>
        <v>7.3275256878379969E-5</v>
      </c>
      <c r="S71" s="65">
        <f t="shared" si="121"/>
        <v>2.0317474713601282E-7</v>
      </c>
      <c r="T71" s="65">
        <f t="shared" si="122"/>
        <v>3.1677286481740881E-6</v>
      </c>
      <c r="U71" s="65">
        <f t="shared" si="123"/>
        <v>1.9323377193263372E-9</v>
      </c>
      <c r="V71" s="76"/>
      <c r="W71" s="62">
        <f t="shared" si="148"/>
        <v>1193</v>
      </c>
      <c r="X71" s="63">
        <v>240</v>
      </c>
      <c r="Y71" s="86">
        <f t="shared" si="124"/>
        <v>0.18102528000000001</v>
      </c>
      <c r="Z71" s="65">
        <f t="shared" si="149"/>
        <v>0.25740543389749704</v>
      </c>
      <c r="AA71" s="65">
        <f t="shared" si="150"/>
        <v>0.25740543389749704</v>
      </c>
      <c r="AB71" s="65">
        <f t="shared" si="151"/>
        <v>5.6629195457449349E-2</v>
      </c>
      <c r="AC71" s="65">
        <f t="shared" si="125"/>
        <v>0.77305472762958893</v>
      </c>
      <c r="AD71" s="65">
        <f t="shared" si="126"/>
        <v>0.22694494819712555</v>
      </c>
      <c r="AE71" s="65">
        <f t="shared" si="152"/>
        <v>0.9449443940852954</v>
      </c>
      <c r="AF71" s="65">
        <f t="shared" si="153"/>
        <v>5.5055605871069092E-2</v>
      </c>
      <c r="AG71" s="154">
        <f t="shared" si="127"/>
        <v>0.19898848759200574</v>
      </c>
      <c r="AH71" s="154">
        <f t="shared" si="154"/>
        <v>5.3511440789077241E-2</v>
      </c>
      <c r="AI71" s="154">
        <f t="shared" si="128"/>
        <v>2.5610358994613468E-2</v>
      </c>
      <c r="AJ71" s="154">
        <f t="shared" si="155"/>
        <v>1.5151549198271913E-3</v>
      </c>
      <c r="AK71" s="154">
        <f t="shared" si="129"/>
        <v>2.1974151897597152E-3</v>
      </c>
      <c r="AL71" s="154">
        <f t="shared" si="156"/>
        <v>2.8600668034403339E-5</v>
      </c>
      <c r="AM71" s="154">
        <f t="shared" si="130"/>
        <v>1.4140665259326259E-4</v>
      </c>
      <c r="AN71" s="154">
        <f t="shared" si="157"/>
        <v>4.0490820508346259E-7</v>
      </c>
      <c r="AO71" s="154">
        <f t="shared" si="131"/>
        <v>7.2797681533522769E-6</v>
      </c>
      <c r="AP71" s="154">
        <f t="shared" si="158"/>
        <v>4.585925177599278E-9</v>
      </c>
      <c r="AQ71" s="76"/>
      <c r="AR71" s="62">
        <f t="shared" si="159"/>
        <v>491</v>
      </c>
      <c r="AS71" s="63">
        <v>240</v>
      </c>
      <c r="AT71" s="64">
        <f t="shared" si="132"/>
        <v>0.18102528000000001</v>
      </c>
      <c r="AU71" s="65">
        <f t="shared" si="133"/>
        <v>6.0962560000000006E-2</v>
      </c>
      <c r="AV71" s="65">
        <f t="shared" si="160"/>
        <v>6.0962560000000006E-2</v>
      </c>
      <c r="AW71" s="65">
        <f t="shared" si="161"/>
        <v>1.3411763200000003E-2</v>
      </c>
      <c r="AX71" s="65">
        <f t="shared" si="134"/>
        <v>0.94085846485751634</v>
      </c>
      <c r="AY71" s="65">
        <f t="shared" si="162"/>
        <v>5.9141535074818417E-2</v>
      </c>
      <c r="AZ71" s="65">
        <f t="shared" si="162"/>
        <v>1.3322226233762943E-2</v>
      </c>
      <c r="BA71" s="65">
        <f t="shared" si="135"/>
        <v>5.7357140615384238E-2</v>
      </c>
      <c r="BB71" s="65">
        <f t="shared" si="136"/>
        <v>1.323308865645584E-2</v>
      </c>
      <c r="BC71" s="65">
        <f t="shared" si="137"/>
        <v>1.7483190630968994E-3</v>
      </c>
      <c r="BD71" s="65">
        <f t="shared" si="138"/>
        <v>8.8739525732495954E-5</v>
      </c>
      <c r="BE71" s="65">
        <f t="shared" si="139"/>
        <v>3.5527335261062842E-5</v>
      </c>
      <c r="BF71" s="65">
        <f t="shared" si="140"/>
        <v>3.9671783520151417E-7</v>
      </c>
      <c r="BG71" s="65">
        <f t="shared" si="141"/>
        <v>5.4145932687316484E-7</v>
      </c>
      <c r="BH71" s="65">
        <f t="shared" si="142"/>
        <v>1.3301714157348335E-9</v>
      </c>
      <c r="BI71" s="65">
        <f t="shared" si="143"/>
        <v>6.6017493404129855E-9</v>
      </c>
      <c r="BJ71" s="65">
        <f t="shared" si="144"/>
        <v>3.567988808648869E-12</v>
      </c>
    </row>
    <row r="72" spans="1:62" x14ac:dyDescent="0.3">
      <c r="A72" s="91"/>
      <c r="B72" s="62">
        <f t="shared" si="145"/>
        <v>4172</v>
      </c>
      <c r="C72" s="63">
        <v>270</v>
      </c>
      <c r="D72" s="64">
        <f t="shared" si="109"/>
        <v>0.22911012</v>
      </c>
      <c r="E72" s="65">
        <f t="shared" si="110"/>
        <v>0.27356823716084716</v>
      </c>
      <c r="F72" s="65">
        <f t="shared" si="146"/>
        <v>0.27356823716084716</v>
      </c>
      <c r="G72" s="65">
        <f t="shared" si="147"/>
        <v>6.0185012175386354E-2</v>
      </c>
      <c r="H72" s="65">
        <f t="shared" si="111"/>
        <v>0.76066042927682576</v>
      </c>
      <c r="I72" s="65">
        <f t="shared" si="112"/>
        <v>0.239339109960298</v>
      </c>
      <c r="J72" s="65"/>
      <c r="K72" s="90">
        <f t="shared" si="113"/>
        <v>5.8409688141047397E-2</v>
      </c>
      <c r="L72" s="65">
        <f t="shared" si="114"/>
        <v>0.20809253271527448</v>
      </c>
      <c r="M72" s="65">
        <f t="shared" si="115"/>
        <v>5.6669624379683835E-2</v>
      </c>
      <c r="N72" s="65">
        <f t="shared" si="116"/>
        <v>2.8463753670626774E-2</v>
      </c>
      <c r="O72" s="65">
        <f t="shared" si="117"/>
        <v>1.7053310166329214E-3</v>
      </c>
      <c r="P72" s="65">
        <f t="shared" si="118"/>
        <v>2.5955929715513197E-3</v>
      </c>
      <c r="Q72" s="65">
        <f t="shared" si="119"/>
        <v>3.4211789333038786E-5</v>
      </c>
      <c r="R72" s="65">
        <f t="shared" si="120"/>
        <v>1.7751794840359486E-4</v>
      </c>
      <c r="S72" s="65">
        <f t="shared" si="121"/>
        <v>5.1475923938767309E-7</v>
      </c>
      <c r="T72" s="65">
        <f t="shared" si="122"/>
        <v>9.7126544418363311E-6</v>
      </c>
      <c r="U72" s="65">
        <f t="shared" si="123"/>
        <v>6.1961582179879437E-9</v>
      </c>
      <c r="V72" s="76"/>
      <c r="W72" s="62">
        <f t="shared" si="148"/>
        <v>1193</v>
      </c>
      <c r="X72" s="63">
        <v>270</v>
      </c>
      <c r="Y72" s="86">
        <f t="shared" si="124"/>
        <v>0.22911012</v>
      </c>
      <c r="Z72" s="65">
        <f t="shared" si="149"/>
        <v>0.32577875227651965</v>
      </c>
      <c r="AA72" s="65">
        <f t="shared" si="150"/>
        <v>0.32577875227651965</v>
      </c>
      <c r="AB72" s="65">
        <f t="shared" si="151"/>
        <v>7.1671325500834326E-2</v>
      </c>
      <c r="AC72" s="65">
        <f t="shared" si="125"/>
        <v>0.72196490285391668</v>
      </c>
      <c r="AD72" s="65">
        <f t="shared" si="126"/>
        <v>0.27803384027418254</v>
      </c>
      <c r="AE72" s="65">
        <f t="shared" si="152"/>
        <v>0.93083678785404789</v>
      </c>
      <c r="AF72" s="65">
        <f t="shared" si="153"/>
        <v>6.9163211968909594E-2</v>
      </c>
      <c r="AG72" s="154">
        <f t="shared" si="127"/>
        <v>0.2352008252391877</v>
      </c>
      <c r="AH72" s="154">
        <f t="shared" si="154"/>
        <v>6.6714306410438531E-2</v>
      </c>
      <c r="AI72" s="154">
        <f t="shared" si="128"/>
        <v>3.8311715690415159E-2</v>
      </c>
      <c r="AJ72" s="154">
        <f t="shared" si="155"/>
        <v>2.3907513851524689E-3</v>
      </c>
      <c r="AK72" s="154">
        <f t="shared" si="129"/>
        <v>4.160380978398737E-3</v>
      </c>
      <c r="AL72" s="154">
        <f t="shared" si="156"/>
        <v>5.7116106905611039E-5</v>
      </c>
      <c r="AM72" s="154">
        <f t="shared" si="130"/>
        <v>3.3884093103442661E-4</v>
      </c>
      <c r="AN72" s="154">
        <f t="shared" si="157"/>
        <v>1.0233967723431252E-6</v>
      </c>
      <c r="AO72" s="154">
        <f t="shared" si="131"/>
        <v>2.207743514652195E-5</v>
      </c>
      <c r="AP72" s="154">
        <f t="shared" si="158"/>
        <v>1.4669640637421472E-8</v>
      </c>
      <c r="AQ72" s="76"/>
      <c r="AR72" s="62">
        <f t="shared" si="159"/>
        <v>491</v>
      </c>
      <c r="AS72" s="63">
        <v>270</v>
      </c>
      <c r="AT72" s="64">
        <f t="shared" si="132"/>
        <v>0.22911012</v>
      </c>
      <c r="AU72" s="65">
        <f t="shared" si="133"/>
        <v>7.715574E-2</v>
      </c>
      <c r="AV72" s="65">
        <f t="shared" si="160"/>
        <v>7.715574E-2</v>
      </c>
      <c r="AW72" s="65">
        <f t="shared" si="161"/>
        <v>1.6974262800000001E-2</v>
      </c>
      <c r="AX72" s="65">
        <f t="shared" si="134"/>
        <v>0.92574566674881675</v>
      </c>
      <c r="AY72" s="65">
        <f t="shared" si="162"/>
        <v>7.4254332976915083E-2</v>
      </c>
      <c r="AZ72" s="65">
        <f t="shared" si="162"/>
        <v>1.6831011673795755E-2</v>
      </c>
      <c r="BA72" s="65">
        <f t="shared" si="135"/>
        <v>7.142659196979835E-2</v>
      </c>
      <c r="BB72" s="65">
        <f t="shared" si="136"/>
        <v>1.6688568784658568E-2</v>
      </c>
      <c r="BC72" s="65">
        <f t="shared" si="137"/>
        <v>2.7554857795539247E-3</v>
      </c>
      <c r="BD72" s="65">
        <f t="shared" si="138"/>
        <v>1.4163807615333557E-4</v>
      </c>
      <c r="BE72" s="65">
        <f t="shared" si="139"/>
        <v>7.0867181460319967E-5</v>
      </c>
      <c r="BF72" s="65">
        <f t="shared" si="140"/>
        <v>8.014006423710438E-7</v>
      </c>
      <c r="BG72" s="65">
        <f t="shared" si="141"/>
        <v>1.3669524568213169E-6</v>
      </c>
      <c r="BH72" s="65">
        <f t="shared" si="142"/>
        <v>3.4007962779237283E-9</v>
      </c>
      <c r="BI72" s="65">
        <f t="shared" si="143"/>
        <v>2.1093645670173351E-8</v>
      </c>
      <c r="BJ72" s="65">
        <f t="shared" si="144"/>
        <v>1.154520195014784E-11</v>
      </c>
    </row>
    <row r="73" spans="1:62" x14ac:dyDescent="0.3">
      <c r="A73" s="76"/>
      <c r="B73" s="62">
        <f t="shared" si="145"/>
        <v>4172</v>
      </c>
      <c r="C73" s="63">
        <v>300</v>
      </c>
      <c r="D73" s="64">
        <f t="shared" si="109"/>
        <v>0.28285199999999999</v>
      </c>
      <c r="E73" s="65">
        <f t="shared" si="110"/>
        <v>0.33773856439610761</v>
      </c>
      <c r="F73" s="65">
        <f t="shared" si="146"/>
        <v>0.33773856439610761</v>
      </c>
      <c r="G73" s="65">
        <f t="shared" si="147"/>
        <v>7.430248416714369E-2</v>
      </c>
      <c r="H73" s="65">
        <f t="shared" si="111"/>
        <v>0.71338176691413213</v>
      </c>
      <c r="I73" s="65">
        <f t="shared" si="112"/>
        <v>0.28661668849517269</v>
      </c>
      <c r="J73" s="65"/>
      <c r="K73" s="90">
        <f t="shared" si="113"/>
        <v>7.1609171942369251E-2</v>
      </c>
      <c r="L73" s="65">
        <f t="shared" si="114"/>
        <v>0.24093653382393765</v>
      </c>
      <c r="M73" s="65">
        <f t="shared" si="115"/>
        <v>6.8981744786378696E-2</v>
      </c>
      <c r="N73" s="65">
        <f t="shared" si="116"/>
        <v>4.0686779522135466E-2</v>
      </c>
      <c r="O73" s="65">
        <f t="shared" si="117"/>
        <v>2.562757499905925E-3</v>
      </c>
      <c r="P73" s="65">
        <f t="shared" si="118"/>
        <v>4.5804981685689935E-3</v>
      </c>
      <c r="Q73" s="65">
        <f t="shared" si="119"/>
        <v>6.3473082853662916E-5</v>
      </c>
      <c r="R73" s="65">
        <f t="shared" si="120"/>
        <v>3.8675271891787307E-4</v>
      </c>
      <c r="S73" s="65">
        <f t="shared" si="121"/>
        <v>1.1790519334435218E-6</v>
      </c>
      <c r="T73" s="65">
        <f t="shared" si="122"/>
        <v>2.6124261612722749E-5</v>
      </c>
      <c r="U73" s="65">
        <f t="shared" si="123"/>
        <v>1.752129752338549E-8</v>
      </c>
      <c r="V73" s="76"/>
      <c r="W73" s="62">
        <f t="shared" si="148"/>
        <v>1193</v>
      </c>
      <c r="X73" s="63">
        <v>300</v>
      </c>
      <c r="Y73" s="86">
        <f t="shared" si="124"/>
        <v>0.28285199999999999</v>
      </c>
      <c r="Z73" s="65">
        <f t="shared" si="149"/>
        <v>0.40219599046483911</v>
      </c>
      <c r="AA73" s="65">
        <f t="shared" si="150"/>
        <v>0.40219599046483911</v>
      </c>
      <c r="AB73" s="65">
        <f t="shared" si="151"/>
        <v>8.8483117902264596E-2</v>
      </c>
      <c r="AC73" s="65">
        <f t="shared" si="125"/>
        <v>0.66884964469072306</v>
      </c>
      <c r="AD73" s="65">
        <f t="shared" si="126"/>
        <v>0.33114618541770763</v>
      </c>
      <c r="AE73" s="65">
        <f t="shared" si="152"/>
        <v>0.91531856310300441</v>
      </c>
      <c r="AF73" s="65">
        <f t="shared" si="153"/>
        <v>8.4681436279095773E-2</v>
      </c>
      <c r="AG73" s="154">
        <f t="shared" si="127"/>
        <v>0.2690086453184411</v>
      </c>
      <c r="AH73" s="154">
        <f t="shared" si="154"/>
        <v>8.0990240337174557E-2</v>
      </c>
      <c r="AI73" s="154">
        <f t="shared" si="128"/>
        <v>5.4097099273727509E-2</v>
      </c>
      <c r="AJ73" s="154">
        <f t="shared" si="155"/>
        <v>3.5831344923434815E-3</v>
      </c>
      <c r="AK73" s="154">
        <f t="shared" si="129"/>
        <v>7.2525454745571878E-3</v>
      </c>
      <c r="AL73" s="154">
        <f t="shared" si="156"/>
        <v>1.0568230391523309E-4</v>
      </c>
      <c r="AM73" s="154">
        <f t="shared" si="130"/>
        <v>7.2923617763270387E-4</v>
      </c>
      <c r="AN73" s="154">
        <f t="shared" si="157"/>
        <v>2.3377749393786323E-6</v>
      </c>
      <c r="AO73" s="154">
        <f t="shared" si="131"/>
        <v>5.8659173349155738E-5</v>
      </c>
      <c r="AP73" s="154">
        <f t="shared" si="158"/>
        <v>4.1370723117999804E-8</v>
      </c>
      <c r="AQ73" s="76"/>
      <c r="AR73" s="62">
        <f t="shared" si="159"/>
        <v>491</v>
      </c>
      <c r="AS73" s="73">
        <v>300</v>
      </c>
      <c r="AT73" s="64">
        <f t="shared" si="132"/>
        <v>0.28285199999999999</v>
      </c>
      <c r="AU73" s="65">
        <f t="shared" si="133"/>
        <v>9.5254000000000005E-2</v>
      </c>
      <c r="AV73" s="65">
        <f t="shared" si="160"/>
        <v>9.5254000000000005E-2</v>
      </c>
      <c r="AW73" s="65">
        <f t="shared" si="161"/>
        <v>2.0955879999999996E-2</v>
      </c>
      <c r="AX73" s="65">
        <f t="shared" si="134"/>
        <v>0.90914198307494509</v>
      </c>
      <c r="AY73" s="74">
        <f t="shared" si="162"/>
        <v>9.0858015968877201E-2</v>
      </c>
      <c r="AZ73" s="65">
        <f t="shared" si="162"/>
        <v>2.0737831336632769E-2</v>
      </c>
      <c r="BA73" s="65">
        <f t="shared" si="135"/>
        <v>8.6599410455820827E-2</v>
      </c>
      <c r="BB73" s="65">
        <f t="shared" si="136"/>
        <v>2.0521300495046857E-2</v>
      </c>
      <c r="BC73" s="65">
        <f t="shared" si="137"/>
        <v>4.1244701217793781E-3</v>
      </c>
      <c r="BD73" s="65">
        <f t="shared" si="138"/>
        <v>2.1502095530907125E-4</v>
      </c>
      <c r="BE73" s="65">
        <f t="shared" si="139"/>
        <v>1.3095742565999097E-4</v>
      </c>
      <c r="BF73" s="65">
        <f t="shared" si="140"/>
        <v>1.5019844456474199E-6</v>
      </c>
      <c r="BG73" s="65">
        <f t="shared" si="141"/>
        <v>3.1185546559541949E-6</v>
      </c>
      <c r="BH73" s="65">
        <f t="shared" si="142"/>
        <v>7.8688514512134614E-9</v>
      </c>
      <c r="BI73" s="65">
        <f t="shared" si="143"/>
        <v>5.9410961039652192E-8</v>
      </c>
      <c r="BJ73" s="65">
        <f t="shared" si="144"/>
        <v>3.2979741349891025E-11</v>
      </c>
    </row>
    <row r="74" spans="1:62" x14ac:dyDescent="0.3">
      <c r="A74" s="38"/>
      <c r="B74" s="62">
        <f t="shared" si="145"/>
        <v>4172</v>
      </c>
      <c r="C74" s="63">
        <v>330</v>
      </c>
      <c r="D74" s="64">
        <f t="shared" si="109"/>
        <v>0.34225091999999996</v>
      </c>
      <c r="E74" s="65">
        <f t="shared" si="110"/>
        <v>0.40866366291929018</v>
      </c>
      <c r="F74" s="65">
        <f t="shared" si="146"/>
        <v>0.40866366291929018</v>
      </c>
      <c r="G74" s="65">
        <f t="shared" si="147"/>
        <v>8.9906005842243841E-2</v>
      </c>
      <c r="H74" s="65">
        <f t="shared" si="111"/>
        <v>0.66453770341049012</v>
      </c>
      <c r="I74" s="65">
        <f t="shared" si="112"/>
        <v>0.33545773301780984</v>
      </c>
      <c r="J74" s="65"/>
      <c r="K74" s="90">
        <f t="shared" si="113"/>
        <v>8.5982905820253072E-2</v>
      </c>
      <c r="L74" s="65">
        <f t="shared" si="114"/>
        <v>0.27157241202370375</v>
      </c>
      <c r="M74" s="65">
        <f t="shared" si="115"/>
        <v>8.2175626148176348E-2</v>
      </c>
      <c r="N74" s="65">
        <f t="shared" si="116"/>
        <v>5.549088832271673E-2</v>
      </c>
      <c r="O74" s="65">
        <f t="shared" si="117"/>
        <v>3.6940411622839943E-3</v>
      </c>
      <c r="P74" s="65">
        <f t="shared" si="118"/>
        <v>7.5590365602022291E-3</v>
      </c>
      <c r="Q74" s="65">
        <f t="shared" si="119"/>
        <v>1.1070549543926469E-4</v>
      </c>
      <c r="R74" s="65">
        <f t="shared" si="120"/>
        <v>7.7227589220826853E-4</v>
      </c>
      <c r="S74" s="65">
        <f t="shared" si="121"/>
        <v>2.4882722299327577E-6</v>
      </c>
      <c r="T74" s="65">
        <f t="shared" si="122"/>
        <v>6.3120218978818794E-5</v>
      </c>
      <c r="U74" s="65">
        <f t="shared" si="123"/>
        <v>4.474212352828553E-8</v>
      </c>
      <c r="V74" s="76"/>
      <c r="W74" s="62">
        <f t="shared" si="148"/>
        <v>1193</v>
      </c>
      <c r="X74" s="63">
        <v>330</v>
      </c>
      <c r="Y74" s="86">
        <f t="shared" si="124"/>
        <v>0.34225091999999996</v>
      </c>
      <c r="Z74" s="65">
        <f t="shared" si="149"/>
        <v>0.48665714846245522</v>
      </c>
      <c r="AA74" s="65">
        <f t="shared" si="150"/>
        <v>0.48665714846245522</v>
      </c>
      <c r="AB74" s="65">
        <f t="shared" si="151"/>
        <v>0.10706457266174013</v>
      </c>
      <c r="AC74" s="65">
        <f t="shared" si="125"/>
        <v>0.61467774003020659</v>
      </c>
      <c r="AD74" s="65">
        <f t="shared" si="126"/>
        <v>0.38531007976279558</v>
      </c>
      <c r="AE74" s="65">
        <f t="shared" si="152"/>
        <v>0.89846765466917755</v>
      </c>
      <c r="AF74" s="65">
        <f t="shared" si="153"/>
        <v>0.10153234342217592</v>
      </c>
      <c r="AG74" s="154">
        <f t="shared" si="127"/>
        <v>0.29913731618644668</v>
      </c>
      <c r="AH74" s="154">
        <f t="shared" si="154"/>
        <v>9.6194055497551403E-2</v>
      </c>
      <c r="AI74" s="154">
        <f t="shared" si="128"/>
        <v>7.2788656647003999E-2</v>
      </c>
      <c r="AJ74" s="154">
        <f t="shared" si="155"/>
        <v>5.1494877222225269E-3</v>
      </c>
      <c r="AK74" s="154">
        <f t="shared" si="129"/>
        <v>1.1807706694747901E-2</v>
      </c>
      <c r="AL74" s="154">
        <f t="shared" si="156"/>
        <v>1.8377590080221085E-4</v>
      </c>
      <c r="AM74" s="154">
        <f t="shared" si="130"/>
        <v>1.436576217486764E-3</v>
      </c>
      <c r="AN74" s="154">
        <f t="shared" si="157"/>
        <v>4.9189720712287614E-6</v>
      </c>
      <c r="AO74" s="154">
        <f t="shared" si="131"/>
        <v>1.3982401711021768E-4</v>
      </c>
      <c r="AP74" s="154">
        <f t="shared" si="158"/>
        <v>1.0532952854822842E-7</v>
      </c>
      <c r="AQ74" s="76"/>
      <c r="AR74" s="62">
        <f t="shared" si="159"/>
        <v>491</v>
      </c>
      <c r="AS74" s="63">
        <v>330</v>
      </c>
      <c r="AT74" s="64">
        <f t="shared" si="132"/>
        <v>0.34225091999999996</v>
      </c>
      <c r="AU74" s="65">
        <f t="shared" si="133"/>
        <v>0.11525733999999997</v>
      </c>
      <c r="AV74" s="65">
        <f t="shared" si="160"/>
        <v>0.11525733999999997</v>
      </c>
      <c r="AW74" s="65">
        <f t="shared" si="161"/>
        <v>2.5356614799999996E-2</v>
      </c>
      <c r="AX74" s="65">
        <f t="shared" si="134"/>
        <v>0.89113678925568707</v>
      </c>
      <c r="AY74" s="65">
        <f t="shared" si="162"/>
        <v>0.10886320779433571</v>
      </c>
      <c r="AZ74" s="65">
        <f t="shared" si="162"/>
        <v>2.5037835910805776E-2</v>
      </c>
      <c r="BA74" s="65">
        <f t="shared" si="135"/>
        <v>0.10271005590575105</v>
      </c>
      <c r="BB74" s="65">
        <f t="shared" si="136"/>
        <v>2.4721740039374926E-2</v>
      </c>
      <c r="BC74" s="65">
        <f t="shared" si="137"/>
        <v>5.9190439174740764E-3</v>
      </c>
      <c r="BD74" s="65">
        <f t="shared" si="138"/>
        <v>3.1342981968208338E-4</v>
      </c>
      <c r="BE74" s="65">
        <f t="shared" si="139"/>
        <v>2.2740441909041383E-4</v>
      </c>
      <c r="BF74" s="65">
        <f t="shared" si="140"/>
        <v>2.6491730681706819E-6</v>
      </c>
      <c r="BG74" s="65">
        <f t="shared" si="141"/>
        <v>6.5525071121515773E-6</v>
      </c>
      <c r="BH74" s="65">
        <f t="shared" si="142"/>
        <v>1.6793515257034532E-8</v>
      </c>
      <c r="BI74" s="65">
        <f t="shared" si="143"/>
        <v>1.5104490801553445E-7</v>
      </c>
      <c r="BJ74" s="65">
        <f t="shared" si="144"/>
        <v>8.516533950210952E-11</v>
      </c>
    </row>
    <row r="75" spans="1:62" x14ac:dyDescent="0.3">
      <c r="A75" s="76"/>
      <c r="B75" s="62">
        <f t="shared" si="145"/>
        <v>4172</v>
      </c>
      <c r="C75" s="73">
        <v>360</v>
      </c>
      <c r="D75" s="64">
        <f t="shared" si="109"/>
        <v>0.40730687999999998</v>
      </c>
      <c r="E75" s="65">
        <f t="shared" si="110"/>
        <v>0.48634353273039493</v>
      </c>
      <c r="F75" s="65">
        <f t="shared" si="146"/>
        <v>0.48634353273039493</v>
      </c>
      <c r="G75" s="65">
        <f t="shared" si="147"/>
        <v>0.10699557720068686</v>
      </c>
      <c r="H75" s="65">
        <f t="shared" si="111"/>
        <v>0.61487054287104903</v>
      </c>
      <c r="I75" s="65">
        <f t="shared" si="112"/>
        <v>0.38511732070924021</v>
      </c>
      <c r="J75" s="65"/>
      <c r="K75" s="92">
        <f t="shared" si="113"/>
        <v>0.10147035110078632</v>
      </c>
      <c r="L75" s="65">
        <f t="shared" si="114"/>
        <v>0.29903831199176173</v>
      </c>
      <c r="M75" s="65">
        <f t="shared" si="115"/>
        <v>9.6138698212461488E-2</v>
      </c>
      <c r="N75" s="65">
        <f t="shared" si="116"/>
        <v>7.2717674537903718E-2</v>
      </c>
      <c r="O75" s="65">
        <f t="shared" si="117"/>
        <v>5.1432077532824801E-3</v>
      </c>
      <c r="P75" s="65">
        <f t="shared" si="118"/>
        <v>1.1788590242234394E-2</v>
      </c>
      <c r="Q75" s="65">
        <f t="shared" si="119"/>
        <v>1.8343349407516892E-4</v>
      </c>
      <c r="R75" s="65">
        <f t="shared" si="120"/>
        <v>1.4333261560798343E-3</v>
      </c>
      <c r="S75" s="65">
        <f t="shared" si="121"/>
        <v>4.9066431441278685E-6</v>
      </c>
      <c r="T75" s="65">
        <f t="shared" si="122"/>
        <v>1.3941778126054882E-4</v>
      </c>
      <c r="U75" s="65">
        <f t="shared" si="123"/>
        <v>1.0499782306475086E-7</v>
      </c>
      <c r="V75" s="76"/>
      <c r="W75" s="62">
        <f t="shared" si="148"/>
        <v>1193</v>
      </c>
      <c r="X75" s="63">
        <v>360</v>
      </c>
      <c r="Y75" s="86">
        <f t="shared" si="124"/>
        <v>0.40730687999999998</v>
      </c>
      <c r="Z75" s="65">
        <f t="shared" si="149"/>
        <v>0.57916222626936831</v>
      </c>
      <c r="AA75" s="65">
        <f t="shared" si="150"/>
        <v>0.57916222626936831</v>
      </c>
      <c r="AB75" s="65">
        <f t="shared" si="151"/>
        <v>0.12741568977926099</v>
      </c>
      <c r="AC75" s="65">
        <f t="shared" si="125"/>
        <v>0.56036763125010025</v>
      </c>
      <c r="AD75" s="65">
        <f t="shared" si="126"/>
        <v>0.43960037802067958</v>
      </c>
      <c r="AE75" s="65">
        <f t="shared" si="152"/>
        <v>0.88036763669516982</v>
      </c>
      <c r="AF75" s="65">
        <f t="shared" si="153"/>
        <v>0.11963235797604162</v>
      </c>
      <c r="AG75" s="154">
        <f t="shared" si="127"/>
        <v>0.32454376484410052</v>
      </c>
      <c r="AH75" s="154">
        <f t="shared" si="154"/>
        <v>0.1121726496888529</v>
      </c>
      <c r="AI75" s="154">
        <f t="shared" si="128"/>
        <v>9.3981744684475788E-2</v>
      </c>
      <c r="AJ75" s="154">
        <f t="shared" si="155"/>
        <v>7.1462777672362983E-3</v>
      </c>
      <c r="AK75" s="154">
        <f t="shared" si="129"/>
        <v>1.8143558826713455E-2</v>
      </c>
      <c r="AL75" s="154">
        <f t="shared" si="156"/>
        <v>3.0351597035553672E-4</v>
      </c>
      <c r="AM75" s="154">
        <f t="shared" si="130"/>
        <v>2.6270159806321535E-3</v>
      </c>
      <c r="AN75" s="154">
        <f t="shared" si="157"/>
        <v>9.6681741804681085E-6</v>
      </c>
      <c r="AO75" s="154">
        <f t="shared" si="131"/>
        <v>3.0429368475762514E-4</v>
      </c>
      <c r="AP75" s="154">
        <f t="shared" si="158"/>
        <v>2.4637541642207705E-7</v>
      </c>
      <c r="AQ75" s="76"/>
      <c r="AR75" s="62">
        <f t="shared" si="159"/>
        <v>491</v>
      </c>
      <c r="AS75" s="63">
        <v>360</v>
      </c>
      <c r="AT75" s="64">
        <f t="shared" si="132"/>
        <v>0.40730687999999998</v>
      </c>
      <c r="AU75" s="65">
        <f t="shared" si="133"/>
        <v>0.13716576</v>
      </c>
      <c r="AV75" s="65">
        <f t="shared" si="160"/>
        <v>0.13716576</v>
      </c>
      <c r="AW75" s="65">
        <f t="shared" si="161"/>
        <v>3.0176467200000001E-2</v>
      </c>
      <c r="AX75" s="65">
        <f t="shared" si="134"/>
        <v>0.87182570032605555</v>
      </c>
      <c r="AY75" s="65">
        <f t="shared" si="162"/>
        <v>0.1281742914487819</v>
      </c>
      <c r="AZ75" s="65">
        <f t="shared" si="162"/>
        <v>2.9725703147253067E-2</v>
      </c>
      <c r="BA75" s="65">
        <f t="shared" si="135"/>
        <v>0.11958463477275566</v>
      </c>
      <c r="BB75" s="65">
        <f t="shared" si="136"/>
        <v>2.9279450493949144E-2</v>
      </c>
      <c r="BC75" s="65">
        <f t="shared" si="137"/>
        <v>8.2014586564637271E-3</v>
      </c>
      <c r="BD75" s="65">
        <f t="shared" si="138"/>
        <v>4.4177518873234008E-4</v>
      </c>
      <c r="BE75" s="65">
        <f t="shared" si="139"/>
        <v>3.7498643657414202E-4</v>
      </c>
      <c r="BF75" s="65">
        <f t="shared" si="140"/>
        <v>4.4437381641850905E-6</v>
      </c>
      <c r="BG75" s="65">
        <f t="shared" si="141"/>
        <v>1.2858824890595998E-5</v>
      </c>
      <c r="BH75" s="65">
        <f t="shared" si="142"/>
        <v>3.3524079739229898E-8</v>
      </c>
      <c r="BI75" s="65">
        <f t="shared" si="143"/>
        <v>3.5275809776510334E-7</v>
      </c>
      <c r="BJ75" s="65">
        <f t="shared" si="144"/>
        <v>2.023276585322111E-10</v>
      </c>
    </row>
    <row r="76" spans="1:62" x14ac:dyDescent="0.3">
      <c r="A76" s="76"/>
      <c r="B76" s="62">
        <f t="shared" si="145"/>
        <v>4172</v>
      </c>
      <c r="C76" s="63">
        <v>390</v>
      </c>
      <c r="D76" s="64">
        <f t="shared" si="109"/>
        <v>0.47801987999999995</v>
      </c>
      <c r="E76" s="65">
        <f t="shared" si="110"/>
        <v>0.57077817382942175</v>
      </c>
      <c r="F76" s="65">
        <f t="shared" si="146"/>
        <v>0.57077817382942175</v>
      </c>
      <c r="G76" s="65">
        <f t="shared" si="147"/>
        <v>0.12557119824247276</v>
      </c>
      <c r="H76" s="65">
        <f t="shared" si="111"/>
        <v>0.56508553278710205</v>
      </c>
      <c r="I76" s="65">
        <f t="shared" si="112"/>
        <v>0.4348849473493438</v>
      </c>
      <c r="J76" s="65"/>
      <c r="K76" s="90">
        <f t="shared" si="113"/>
        <v>0.11800702926747245</v>
      </c>
      <c r="L76" s="65">
        <f t="shared" si="114"/>
        <v>0.32253848846164795</v>
      </c>
      <c r="M76" s="65">
        <f t="shared" si="115"/>
        <v>0.110752913562268</v>
      </c>
      <c r="N76" s="65">
        <f t="shared" si="116"/>
        <v>9.2048964716920714E-2</v>
      </c>
      <c r="O76" s="65">
        <f t="shared" si="117"/>
        <v>6.9536880324295022E-3</v>
      </c>
      <c r="P76" s="65">
        <f t="shared" si="118"/>
        <v>1.751317999467096E-2</v>
      </c>
      <c r="Q76" s="65">
        <f t="shared" si="119"/>
        <v>2.9106097947883847E-4</v>
      </c>
      <c r="R76" s="65">
        <f t="shared" si="120"/>
        <v>2.4990352238260633E-3</v>
      </c>
      <c r="S76" s="65">
        <f t="shared" si="121"/>
        <v>9.137218988696379E-6</v>
      </c>
      <c r="T76" s="65">
        <f t="shared" si="122"/>
        <v>2.8527895227816808E-4</v>
      </c>
      <c r="U76" s="65">
        <f t="shared" si="123"/>
        <v>2.2947430740289592E-7</v>
      </c>
      <c r="V76" s="76"/>
      <c r="W76" s="62">
        <f t="shared" si="148"/>
        <v>1193</v>
      </c>
      <c r="X76" s="63">
        <v>390</v>
      </c>
      <c r="Y76" s="86">
        <f t="shared" si="124"/>
        <v>0.47801987999999995</v>
      </c>
      <c r="Z76" s="65">
        <f t="shared" si="149"/>
        <v>0.67971122388557803</v>
      </c>
      <c r="AA76" s="65">
        <f t="shared" si="150"/>
        <v>0.67971122388557803</v>
      </c>
      <c r="AB76" s="65">
        <f t="shared" si="151"/>
        <v>0.14953646925482711</v>
      </c>
      <c r="AC76" s="65">
        <f t="shared" si="125"/>
        <v>0.50676331237799055</v>
      </c>
      <c r="AD76" s="65">
        <f t="shared" si="126"/>
        <v>0.49315991926006753</v>
      </c>
      <c r="AE76" s="65">
        <f t="shared" si="152"/>
        <v>0.86110703351521645</v>
      </c>
      <c r="AF76" s="65">
        <f t="shared" si="153"/>
        <v>0.13889295282135039</v>
      </c>
      <c r="AG76" s="154">
        <f t="shared" si="127"/>
        <v>0.34445271127675348</v>
      </c>
      <c r="AH76" s="154">
        <f t="shared" si="154"/>
        <v>0.12876690544236355</v>
      </c>
      <c r="AI76" s="154">
        <f t="shared" si="128"/>
        <v>0.11706418697631386</v>
      </c>
      <c r="AJ76" s="154">
        <f t="shared" si="155"/>
        <v>9.6276741983606119E-3</v>
      </c>
      <c r="AK76" s="154">
        <f t="shared" si="129"/>
        <v>2.6523280600946813E-2</v>
      </c>
      <c r="AL76" s="154">
        <f t="shared" si="156"/>
        <v>4.7989613558621467E-4</v>
      </c>
      <c r="AM76" s="154">
        <f t="shared" si="130"/>
        <v>4.5070428796825414E-3</v>
      </c>
      <c r="AN76" s="154">
        <f t="shared" si="157"/>
        <v>1.7940493431149582E-5</v>
      </c>
      <c r="AO76" s="154">
        <f t="shared" si="131"/>
        <v>6.1269752637076007E-4</v>
      </c>
      <c r="AP76" s="154">
        <f t="shared" si="158"/>
        <v>5.3655160887670534E-7</v>
      </c>
      <c r="AQ76" s="76"/>
      <c r="AR76" s="62">
        <f t="shared" si="159"/>
        <v>491</v>
      </c>
      <c r="AS76" s="63">
        <v>390</v>
      </c>
      <c r="AT76" s="64">
        <f t="shared" si="132"/>
        <v>0.47801987999999995</v>
      </c>
      <c r="AU76" s="65">
        <f t="shared" si="133"/>
        <v>0.16097925999999999</v>
      </c>
      <c r="AV76" s="65">
        <f t="shared" si="160"/>
        <v>0.16097925999999999</v>
      </c>
      <c r="AW76" s="65">
        <f t="shared" si="161"/>
        <v>3.5415437199999983E-2</v>
      </c>
      <c r="AX76" s="65">
        <f t="shared" si="134"/>
        <v>0.85130972708779784</v>
      </c>
      <c r="AY76" s="65">
        <f t="shared" si="162"/>
        <v>0.14869025185265569</v>
      </c>
      <c r="AZ76" s="65">
        <f t="shared" si="162"/>
        <v>3.4795648835761341E-2</v>
      </c>
      <c r="BA76" s="65">
        <f t="shared" si="135"/>
        <v>0.13704320989739563</v>
      </c>
      <c r="BB76" s="65">
        <f t="shared" si="136"/>
        <v>3.4183134083729673E-2</v>
      </c>
      <c r="BC76" s="65">
        <f t="shared" si="137"/>
        <v>1.1030557258653713E-2</v>
      </c>
      <c r="BD76" s="65">
        <f t="shared" si="138"/>
        <v>6.0530531922075356E-4</v>
      </c>
      <c r="BE76" s="65">
        <f t="shared" si="139"/>
        <v>5.9189698162856767E-4</v>
      </c>
      <c r="BF76" s="65">
        <f t="shared" si="140"/>
        <v>7.1457175065628473E-6</v>
      </c>
      <c r="BG76" s="65">
        <f t="shared" si="141"/>
        <v>2.3820784524700102E-5</v>
      </c>
      <c r="BH76" s="65">
        <f t="shared" si="142"/>
        <v>6.3267177400654247E-8</v>
      </c>
      <c r="BI76" s="65">
        <f t="shared" si="143"/>
        <v>7.669304530811348E-7</v>
      </c>
      <c r="BJ76" s="65">
        <f t="shared" si="144"/>
        <v>4.4812694961082573E-10</v>
      </c>
    </row>
    <row r="77" spans="1:62" x14ac:dyDescent="0.3">
      <c r="A77" s="76"/>
      <c r="B77" s="62">
        <f t="shared" si="145"/>
        <v>4172</v>
      </c>
      <c r="C77" s="63">
        <v>420</v>
      </c>
      <c r="D77" s="64">
        <f t="shared" si="109"/>
        <v>0.55438991999999998</v>
      </c>
      <c r="E77" s="65">
        <f t="shared" si="110"/>
        <v>0.66196758621637086</v>
      </c>
      <c r="F77" s="65">
        <f t="shared" si="146"/>
        <v>0.66196758621637086</v>
      </c>
      <c r="G77" s="65">
        <f t="shared" si="147"/>
        <v>0.14563286896760153</v>
      </c>
      <c r="H77" s="65">
        <f t="shared" si="111"/>
        <v>0.51583538474216428</v>
      </c>
      <c r="I77" s="65">
        <f t="shared" si="112"/>
        <v>0.48409812200206592</v>
      </c>
      <c r="J77" s="65"/>
      <c r="K77" s="90">
        <f t="shared" si="113"/>
        <v>0.13552496776344869</v>
      </c>
      <c r="L77" s="65">
        <f t="shared" si="114"/>
        <v>0.34146630452276344</v>
      </c>
      <c r="M77" s="65">
        <f t="shared" si="115"/>
        <v>0.12589597739196859</v>
      </c>
      <c r="N77" s="65">
        <f t="shared" si="116"/>
        <v>0.11301981268957899</v>
      </c>
      <c r="O77" s="65">
        <f t="shared" si="117"/>
        <v>9.1672961895363416E-3</v>
      </c>
      <c r="P77" s="65">
        <f t="shared" si="118"/>
        <v>2.4938484200248991E-2</v>
      </c>
      <c r="Q77" s="65">
        <f t="shared" si="119"/>
        <v>4.4501988158597962E-4</v>
      </c>
      <c r="R77" s="65">
        <f t="shared" si="120"/>
        <v>4.1271170474834811E-3</v>
      </c>
      <c r="S77" s="65">
        <f t="shared" si="121"/>
        <v>1.6202380525747128E-5</v>
      </c>
      <c r="T77" s="65">
        <f t="shared" si="122"/>
        <v>5.464035419910151E-4</v>
      </c>
      <c r="U77" s="65">
        <f t="shared" si="123"/>
        <v>4.7191983201387004E-7</v>
      </c>
      <c r="V77" s="76"/>
      <c r="W77" s="62">
        <f t="shared" si="148"/>
        <v>1193</v>
      </c>
      <c r="X77" s="63">
        <v>420</v>
      </c>
      <c r="Y77" s="86">
        <f t="shared" si="124"/>
        <v>0.55438991999999998</v>
      </c>
      <c r="Z77" s="65">
        <f t="shared" si="149"/>
        <v>0.78830414131108462</v>
      </c>
      <c r="AA77" s="65">
        <f t="shared" si="150"/>
        <v>0.78830414131108462</v>
      </c>
      <c r="AB77" s="65">
        <f t="shared" si="151"/>
        <v>0.17342691108843855</v>
      </c>
      <c r="AC77" s="65">
        <f t="shared" si="125"/>
        <v>0.45461510490537466</v>
      </c>
      <c r="AD77" s="65">
        <f t="shared" si="126"/>
        <v>0.54521446885374059</v>
      </c>
      <c r="AE77" s="65">
        <f t="shared" si="152"/>
        <v>0.84077860050899633</v>
      </c>
      <c r="AF77" s="65">
        <f t="shared" si="153"/>
        <v>0.15922136691417979</v>
      </c>
      <c r="AG77" s="154">
        <f t="shared" si="127"/>
        <v>0.35837496989948003</v>
      </c>
      <c r="AH77" s="154">
        <f t="shared" si="154"/>
        <v>0.14581363559553551</v>
      </c>
      <c r="AI77" s="154">
        <f t="shared" si="128"/>
        <v>0.14125423645699769</v>
      </c>
      <c r="AJ77" s="154">
        <f t="shared" si="155"/>
        <v>1.2644004207954458E-2</v>
      </c>
      <c r="AK77" s="154">
        <f t="shared" si="129"/>
        <v>3.7117099858928825E-2</v>
      </c>
      <c r="AL77" s="154">
        <f t="shared" si="156"/>
        <v>7.3093686452492025E-4</v>
      </c>
      <c r="AM77" s="154">
        <f t="shared" si="130"/>
        <v>7.3148908830626656E-3</v>
      </c>
      <c r="AN77" s="154">
        <f t="shared" si="157"/>
        <v>3.1691030653806342E-5</v>
      </c>
      <c r="AO77" s="154">
        <f t="shared" si="131"/>
        <v>1.1532717552713992E-3</v>
      </c>
      <c r="AP77" s="154">
        <f t="shared" si="158"/>
        <v>1.0992155110997308E-6</v>
      </c>
      <c r="AQ77" s="76"/>
      <c r="AR77" s="62">
        <f t="shared" si="159"/>
        <v>491</v>
      </c>
      <c r="AS77" s="63">
        <v>420</v>
      </c>
      <c r="AT77" s="64">
        <f t="shared" si="132"/>
        <v>0.55438991999999998</v>
      </c>
      <c r="AU77" s="65">
        <f t="shared" si="133"/>
        <v>0.18669784</v>
      </c>
      <c r="AV77" s="65">
        <f t="shared" si="160"/>
        <v>0.18669784</v>
      </c>
      <c r="AW77" s="65">
        <f t="shared" si="161"/>
        <v>4.1073524799999983E-2</v>
      </c>
      <c r="AX77" s="65">
        <f t="shared" si="134"/>
        <v>0.82969439897298669</v>
      </c>
      <c r="AY77" s="65">
        <f t="shared" si="162"/>
        <v>0.17030555089426122</v>
      </c>
      <c r="AZ77" s="65">
        <f t="shared" si="162"/>
        <v>4.024143869627185E-2</v>
      </c>
      <c r="BA77" s="65">
        <f t="shared" si="135"/>
        <v>0.15490215214835484</v>
      </c>
      <c r="BB77" s="65">
        <f t="shared" si="136"/>
        <v>3.9420667069456551E-2</v>
      </c>
      <c r="BC77" s="65">
        <f t="shared" si="137"/>
        <v>1.4459948608724602E-2</v>
      </c>
      <c r="BD77" s="65">
        <f t="shared" si="138"/>
        <v>8.0957287325493315E-4</v>
      </c>
      <c r="BE77" s="65">
        <f t="shared" si="139"/>
        <v>8.9988039058662959E-4</v>
      </c>
      <c r="BF77" s="65">
        <f t="shared" si="140"/>
        <v>1.1084003829014582E-5</v>
      </c>
      <c r="BG77" s="65">
        <f t="shared" si="141"/>
        <v>4.200143129522001E-5</v>
      </c>
      <c r="BH77" s="65">
        <f t="shared" si="142"/>
        <v>1.1381477653858129E-7</v>
      </c>
      <c r="BI77" s="65">
        <f t="shared" si="143"/>
        <v>1.5683152999451958E-6</v>
      </c>
      <c r="BJ77" s="65">
        <f t="shared" si="144"/>
        <v>9.349548093527751E-10</v>
      </c>
    </row>
    <row r="78" spans="1:62" x14ac:dyDescent="0.3">
      <c r="A78" s="76"/>
      <c r="B78" s="62">
        <f t="shared" si="145"/>
        <v>4172</v>
      </c>
      <c r="C78" s="63">
        <v>450</v>
      </c>
      <c r="D78" s="64">
        <f t="shared" si="109"/>
        <v>0.63641700000000001</v>
      </c>
      <c r="E78" s="65">
        <f t="shared" si="110"/>
        <v>0.75991176989124209</v>
      </c>
      <c r="F78" s="65">
        <f t="shared" si="146"/>
        <v>0.75991176989124209</v>
      </c>
      <c r="G78" s="65">
        <f t="shared" si="147"/>
        <v>0.16718058937607327</v>
      </c>
      <c r="H78" s="65">
        <f t="shared" si="111"/>
        <v>0.46770769108996713</v>
      </c>
      <c r="I78" s="65">
        <f t="shared" si="112"/>
        <v>0.53215223207223983</v>
      </c>
      <c r="J78" s="65"/>
      <c r="K78" s="90">
        <f t="shared" si="113"/>
        <v>0.15395316324407013</v>
      </c>
      <c r="L78" s="65">
        <f t="shared" si="114"/>
        <v>0.35541657932792325</v>
      </c>
      <c r="M78" s="65">
        <f t="shared" si="115"/>
        <v>0.14144260441493486</v>
      </c>
      <c r="N78" s="65">
        <f t="shared" si="116"/>
        <v>0.1350426209228866</v>
      </c>
      <c r="O78" s="65">
        <f t="shared" si="117"/>
        <v>1.1823228984487798E-2</v>
      </c>
      <c r="P78" s="65">
        <f t="shared" si="118"/>
        <v>3.4206825692087613E-2</v>
      </c>
      <c r="Q78" s="65">
        <f t="shared" si="119"/>
        <v>6.5887146331831405E-4</v>
      </c>
      <c r="R78" s="65">
        <f t="shared" si="120"/>
        <v>6.4985423635088779E-3</v>
      </c>
      <c r="S78" s="65">
        <f t="shared" si="121"/>
        <v>2.75376298901579E-5</v>
      </c>
      <c r="T78" s="65">
        <f t="shared" si="122"/>
        <v>9.8766376583344934E-4</v>
      </c>
      <c r="U78" s="65">
        <f t="shared" si="123"/>
        <v>9.2075143901135412E-7</v>
      </c>
      <c r="V78" s="76"/>
      <c r="W78" s="62">
        <f t="shared" si="148"/>
        <v>1193</v>
      </c>
      <c r="X78" s="63">
        <v>450</v>
      </c>
      <c r="Y78" s="86">
        <f t="shared" si="124"/>
        <v>0.63641700000000001</v>
      </c>
      <c r="Z78" s="65">
        <f t="shared" si="149"/>
        <v>0.90494097854588806</v>
      </c>
      <c r="AA78" s="65">
        <f t="shared" si="150"/>
        <v>0.90494097854588806</v>
      </c>
      <c r="AB78" s="65">
        <f t="shared" si="151"/>
        <v>0.19908701528009531</v>
      </c>
      <c r="AC78" s="65">
        <f t="shared" si="125"/>
        <v>0.40456576245795794</v>
      </c>
      <c r="AD78" s="65">
        <f t="shared" si="126"/>
        <v>0.5950807457320948</v>
      </c>
      <c r="AE78" s="65">
        <f t="shared" si="152"/>
        <v>0.81947858307199128</v>
      </c>
      <c r="AF78" s="65">
        <f t="shared" si="153"/>
        <v>0.18052134399105327</v>
      </c>
      <c r="AG78" s="154">
        <f t="shared" si="127"/>
        <v>0.36610813696486777</v>
      </c>
      <c r="AH78" s="154">
        <f t="shared" si="154"/>
        <v>0.16314754518976438</v>
      </c>
      <c r="AI78" s="154">
        <f t="shared" si="128"/>
        <v>0.16565312785929973</v>
      </c>
      <c r="AJ78" s="154">
        <f t="shared" si="155"/>
        <v>1.6240278911052331E-2</v>
      </c>
      <c r="AK78" s="154">
        <f t="shared" si="129"/>
        <v>4.9968767874727267E-2</v>
      </c>
      <c r="AL78" s="154">
        <f t="shared" si="156"/>
        <v>1.0777428852392283E-3</v>
      </c>
      <c r="AM78" s="154">
        <f t="shared" si="130"/>
        <v>1.1304696424322009E-2</v>
      </c>
      <c r="AN78" s="154">
        <f t="shared" si="157"/>
        <v>5.3641153565409077E-5</v>
      </c>
      <c r="AO78" s="154">
        <f t="shared" si="131"/>
        <v>2.0460166088780317E-3</v>
      </c>
      <c r="AP78" s="154">
        <f t="shared" si="158"/>
        <v>2.1358514319037069E-6</v>
      </c>
      <c r="AQ78" s="76"/>
      <c r="AR78" s="62">
        <f t="shared" si="159"/>
        <v>491</v>
      </c>
      <c r="AS78" s="63">
        <v>450</v>
      </c>
      <c r="AT78" s="64">
        <f t="shared" si="132"/>
        <v>0.63641700000000001</v>
      </c>
      <c r="AU78" s="65">
        <f t="shared" si="133"/>
        <v>0.2143215</v>
      </c>
      <c r="AV78" s="65">
        <f t="shared" si="160"/>
        <v>0.2143215</v>
      </c>
      <c r="AW78" s="65">
        <f t="shared" si="161"/>
        <v>4.7150730000000002E-2</v>
      </c>
      <c r="AX78" s="65">
        <f t="shared" si="134"/>
        <v>0.80708886423709836</v>
      </c>
      <c r="AY78" s="65">
        <f t="shared" si="162"/>
        <v>0.19291102370701824</v>
      </c>
      <c r="AZ78" s="65">
        <f t="shared" si="162"/>
        <v>4.6056401150744899E-2</v>
      </c>
      <c r="BA78" s="65">
        <f t="shared" si="135"/>
        <v>0.17297649601659126</v>
      </c>
      <c r="BB78" s="65">
        <f t="shared" si="136"/>
        <v>4.497913706387844E-2</v>
      </c>
      <c r="BC78" s="65">
        <f t="shared" si="137"/>
        <v>1.8536291045509933E-2</v>
      </c>
      <c r="BD78" s="65">
        <f t="shared" si="138"/>
        <v>1.0603995736659625E-3</v>
      </c>
      <c r="BE78" s="65">
        <f t="shared" si="139"/>
        <v>1.3242419004367524E-3</v>
      </c>
      <c r="BF78" s="65">
        <f t="shared" si="140"/>
        <v>1.6666204663346305E-5</v>
      </c>
      <c r="BG78" s="65">
        <f t="shared" si="141"/>
        <v>7.0953377616113857E-5</v>
      </c>
      <c r="BH78" s="65">
        <f t="shared" si="142"/>
        <v>1.9645592905154561E-7</v>
      </c>
      <c r="BI78" s="65">
        <f t="shared" si="143"/>
        <v>3.0413668641503885E-6</v>
      </c>
      <c r="BJ78" s="65">
        <f t="shared" si="144"/>
        <v>1.8526080935217168E-9</v>
      </c>
    </row>
    <row r="79" spans="1:62" x14ac:dyDescent="0.3">
      <c r="A79" s="76"/>
      <c r="B79" s="62">
        <f t="shared" si="145"/>
        <v>4172</v>
      </c>
      <c r="C79" s="63">
        <v>480</v>
      </c>
      <c r="D79" s="64">
        <f t="shared" si="109"/>
        <v>0.72410112000000004</v>
      </c>
      <c r="E79" s="65">
        <f t="shared" si="110"/>
        <v>0.86461072485403556</v>
      </c>
      <c r="F79" s="65">
        <f t="shared" si="146"/>
        <v>0.86461072485403556</v>
      </c>
      <c r="G79" s="65">
        <f t="shared" si="147"/>
        <v>0.19021435946788778</v>
      </c>
      <c r="H79" s="65">
        <f t="shared" si="111"/>
        <v>0.42121548943812154</v>
      </c>
      <c r="I79" s="65">
        <f t="shared" si="112"/>
        <v>0.57850632157146453</v>
      </c>
      <c r="J79" s="65"/>
      <c r="K79" s="90">
        <f t="shared" si="113"/>
        <v>0.17321805767477375</v>
      </c>
      <c r="L79" s="65">
        <f t="shared" si="114"/>
        <v>0.36418742964284162</v>
      </c>
      <c r="M79" s="65">
        <f t="shared" si="115"/>
        <v>0.15726578694531115</v>
      </c>
      <c r="N79" s="65">
        <f t="shared" si="116"/>
        <v>0.15744017876311267</v>
      </c>
      <c r="O79" s="65">
        <f t="shared" si="117"/>
        <v>1.4957105465007834E-2</v>
      </c>
      <c r="P79" s="65">
        <f t="shared" si="118"/>
        <v>4.5374822360507931E-2</v>
      </c>
      <c r="Q79" s="65">
        <f t="shared" si="119"/>
        <v>9.4835207850670316E-4</v>
      </c>
      <c r="R79" s="65">
        <f t="shared" si="120"/>
        <v>9.8078895128104644E-3</v>
      </c>
      <c r="S79" s="65">
        <f t="shared" si="121"/>
        <v>4.5097545790798148E-5</v>
      </c>
      <c r="T79" s="65">
        <f t="shared" si="122"/>
        <v>1.69600129219187E-3</v>
      </c>
      <c r="U79" s="65">
        <f t="shared" si="123"/>
        <v>1.7156401572340816E-6</v>
      </c>
      <c r="V79" s="76"/>
      <c r="W79" s="62">
        <f t="shared" si="148"/>
        <v>1193</v>
      </c>
      <c r="X79" s="63">
        <v>480</v>
      </c>
      <c r="Y79" s="86">
        <f t="shared" si="124"/>
        <v>0.72410112000000004</v>
      </c>
      <c r="Z79" s="65">
        <f t="shared" si="149"/>
        <v>1.0296217355899882</v>
      </c>
      <c r="AA79" s="65">
        <f t="shared" si="150"/>
        <v>1.0296217355899882</v>
      </c>
      <c r="AB79" s="65">
        <f t="shared" si="151"/>
        <v>0.2265167818297974</v>
      </c>
      <c r="AC79" s="65">
        <f t="shared" si="125"/>
        <v>0.35714202914066345</v>
      </c>
      <c r="AD79" s="65">
        <f t="shared" si="126"/>
        <v>0.64216744845130269</v>
      </c>
      <c r="AE79" s="65">
        <f t="shared" si="152"/>
        <v>0.79730596194776404</v>
      </c>
      <c r="AF79" s="65">
        <f t="shared" si="153"/>
        <v>0.20269388348373968</v>
      </c>
      <c r="AG79" s="154">
        <f t="shared" si="127"/>
        <v>0.36772119589594005</v>
      </c>
      <c r="AH79" s="154">
        <f t="shared" si="154"/>
        <v>0.18060318063411843</v>
      </c>
      <c r="AI79" s="154">
        <f t="shared" si="128"/>
        <v>0.1893068679658019</v>
      </c>
      <c r="AJ79" s="154">
        <f t="shared" si="155"/>
        <v>2.0454825632733046E-2</v>
      </c>
      <c r="AK79" s="154">
        <f t="shared" si="129"/>
        <v>6.4971488651351217E-2</v>
      </c>
      <c r="AL79" s="154">
        <f t="shared" si="156"/>
        <v>1.5444537584054464E-3</v>
      </c>
      <c r="AM79" s="154">
        <f t="shared" si="130"/>
        <v>1.6724014227267367E-2</v>
      </c>
      <c r="AN79" s="154">
        <f t="shared" si="157"/>
        <v>8.7461173759734284E-5</v>
      </c>
      <c r="AO79" s="154">
        <f t="shared" si="131"/>
        <v>3.4438817109421365E-3</v>
      </c>
      <c r="AP79" s="154">
        <f t="shared" si="158"/>
        <v>3.9622847230223455E-6</v>
      </c>
      <c r="AQ79" s="76"/>
      <c r="AR79" s="62">
        <f t="shared" si="159"/>
        <v>491</v>
      </c>
      <c r="AS79" s="63">
        <v>480</v>
      </c>
      <c r="AT79" s="64">
        <f t="shared" si="132"/>
        <v>0.72410112000000004</v>
      </c>
      <c r="AU79" s="65">
        <f t="shared" si="133"/>
        <v>0.24385024000000002</v>
      </c>
      <c r="AV79" s="65">
        <f t="shared" si="160"/>
        <v>0.24385024000000002</v>
      </c>
      <c r="AW79" s="65">
        <f t="shared" si="161"/>
        <v>5.3647052800000011E-2</v>
      </c>
      <c r="AX79" s="65">
        <f t="shared" si="134"/>
        <v>0.78360497815746122</v>
      </c>
      <c r="AY79" s="65">
        <f t="shared" si="162"/>
        <v>0.21639478479633875</v>
      </c>
      <c r="AZ79" s="65">
        <f t="shared" si="162"/>
        <v>5.2233440938830679E-2</v>
      </c>
      <c r="BA79" s="65">
        <f t="shared" si="135"/>
        <v>0.19108226198889169</v>
      </c>
      <c r="BB79" s="65">
        <f t="shared" si="136"/>
        <v>5.0844882634332483E-2</v>
      </c>
      <c r="BC79" s="65">
        <f t="shared" si="137"/>
        <v>2.3297727722867062E-2</v>
      </c>
      <c r="BD79" s="65">
        <f t="shared" si="138"/>
        <v>1.3638390516469191E-3</v>
      </c>
      <c r="BE79" s="65">
        <f t="shared" si="139"/>
        <v>1.8937188322252624E-3</v>
      </c>
      <c r="BF79" s="65">
        <f t="shared" si="140"/>
        <v>2.4388648538134736E-5</v>
      </c>
      <c r="BG79" s="65">
        <f t="shared" si="141"/>
        <v>1.1544594793266249E-4</v>
      </c>
      <c r="BH79" s="65">
        <f t="shared" si="142"/>
        <v>3.2709477896148941E-7</v>
      </c>
      <c r="BI79" s="65">
        <f t="shared" si="143"/>
        <v>5.630304422081451E-6</v>
      </c>
      <c r="BJ79" s="65">
        <f t="shared" si="144"/>
        <v>3.5095341755102708E-9</v>
      </c>
    </row>
    <row r="80" spans="1:62" ht="15" thickBot="1" x14ac:dyDescent="0.35">
      <c r="A80" s="38"/>
      <c r="B80" s="62">
        <f t="shared" si="145"/>
        <v>4172</v>
      </c>
      <c r="C80" s="63">
        <v>510</v>
      </c>
      <c r="D80" s="64">
        <f t="shared" si="109"/>
        <v>0.81744227999999997</v>
      </c>
      <c r="E80" s="65">
        <f t="shared" si="110"/>
        <v>0.97606445110475104</v>
      </c>
      <c r="F80" s="65">
        <f t="shared" si="146"/>
        <v>0.97606445110475104</v>
      </c>
      <c r="G80" s="65">
        <f t="shared" si="147"/>
        <v>0.21473417924304516</v>
      </c>
      <c r="H80" s="65">
        <f t="shared" si="111"/>
        <v>0.37679106435996107</v>
      </c>
      <c r="I80" s="65">
        <f t="shared" si="112"/>
        <v>0.62268469290660355</v>
      </c>
      <c r="J80" s="65"/>
      <c r="K80" s="93">
        <f>SUM(M80,O80,Q80,S80,U80)</f>
        <v>0.19324402255183434</v>
      </c>
      <c r="L80" s="65">
        <f t="shared" si="114"/>
        <v>0.36777236341568031</v>
      </c>
      <c r="M80" s="65">
        <f t="shared" si="115"/>
        <v>0.17323805833376479</v>
      </c>
      <c r="N80" s="65">
        <f t="shared" si="116"/>
        <v>0.17948476501441152</v>
      </c>
      <c r="O80" s="65">
        <f t="shared" si="117"/>
        <v>1.8600066134979883E-2</v>
      </c>
      <c r="P80" s="65">
        <f t="shared" si="118"/>
        <v>5.8396232881818944E-2</v>
      </c>
      <c r="Q80" s="65">
        <f t="shared" si="119"/>
        <v>1.3313566451204214E-3</v>
      </c>
      <c r="R80" s="65">
        <f t="shared" si="120"/>
        <v>1.4249621748594454E-2</v>
      </c>
      <c r="S80" s="65">
        <f t="shared" si="121"/>
        <v>7.1471944117426972E-5</v>
      </c>
      <c r="T80" s="65">
        <f t="shared" si="122"/>
        <v>2.7817098460984338E-3</v>
      </c>
      <c r="U80" s="65">
        <f t="shared" si="123"/>
        <v>3.0694938517920946E-6</v>
      </c>
      <c r="V80" s="76"/>
      <c r="W80" s="62">
        <f t="shared" si="148"/>
        <v>1193</v>
      </c>
      <c r="X80" s="63">
        <v>510</v>
      </c>
      <c r="Y80" s="86">
        <f t="shared" si="124"/>
        <v>0.81744227999999997</v>
      </c>
      <c r="Z80" s="65">
        <f t="shared" si="149"/>
        <v>1.1623464124433849</v>
      </c>
      <c r="AA80" s="65">
        <f>1*$Z80</f>
        <v>1.1623464124433849</v>
      </c>
      <c r="AB80" s="65">
        <f t="shared" si="151"/>
        <v>0.25571621073754469</v>
      </c>
      <c r="AC80" s="65">
        <f t="shared" si="125"/>
        <v>0.3127514753051937</v>
      </c>
      <c r="AD80" s="65">
        <f t="shared" si="126"/>
        <v>0.68596980903280547</v>
      </c>
      <c r="AE80" s="65">
        <f t="shared" si="152"/>
        <v>0.77436169314683923</v>
      </c>
      <c r="AF80" s="65">
        <f>SUM(AH80,AJ80,AL80,AN80,AP80)</f>
        <v>0.22563799478720176</v>
      </c>
      <c r="AG80" s="154">
        <f t="shared" si="127"/>
        <v>0.3635255553073678</v>
      </c>
      <c r="AH80" s="154">
        <f t="shared" si="154"/>
        <v>0.19801683791181907</v>
      </c>
      <c r="AI80" s="154">
        <f t="shared" si="128"/>
        <v>0.21127131252150413</v>
      </c>
      <c r="AJ80" s="154">
        <f t="shared" si="155"/>
        <v>2.5318057726520477E-2</v>
      </c>
      <c r="AK80" s="154">
        <f t="shared" si="129"/>
        <v>8.1856817387191833E-2</v>
      </c>
      <c r="AL80" s="154">
        <f t="shared" si="156"/>
        <v>2.1580792616867437E-3</v>
      </c>
      <c r="AM80" s="154">
        <f t="shared" si="130"/>
        <v>2.3786494506008934E-2</v>
      </c>
      <c r="AN80" s="154">
        <f t="shared" si="157"/>
        <v>1.3796396281745308E-4</v>
      </c>
      <c r="AO80" s="154">
        <f t="shared" si="131"/>
        <v>5.5296293107327541E-3</v>
      </c>
      <c r="AP80" s="154">
        <f t="shared" si="158"/>
        <v>7.0559243580029215E-6</v>
      </c>
      <c r="AQ80" s="76"/>
      <c r="AR80" s="62">
        <f t="shared" si="159"/>
        <v>491</v>
      </c>
      <c r="AS80" s="63">
        <v>510</v>
      </c>
      <c r="AT80" s="64">
        <f t="shared" si="132"/>
        <v>0.81744227999999997</v>
      </c>
      <c r="AU80" s="65">
        <f t="shared" si="133"/>
        <v>0.27528406</v>
      </c>
      <c r="AV80" s="65">
        <f t="shared" si="160"/>
        <v>0.27528406</v>
      </c>
      <c r="AW80" s="65">
        <f t="shared" si="161"/>
        <v>6.0562493199999984E-2</v>
      </c>
      <c r="AX80" s="65">
        <f t="shared" si="134"/>
        <v>0.75935638980971276</v>
      </c>
      <c r="AY80" s="65">
        <f t="shared" si="162"/>
        <v>0.24064313251330111</v>
      </c>
      <c r="AZ80" s="65">
        <f t="shared" si="162"/>
        <v>5.8765053538267761E-2</v>
      </c>
      <c r="BA80" s="65">
        <f t="shared" si="135"/>
        <v>0.20903870997376037</v>
      </c>
      <c r="BB80" s="65">
        <f t="shared" si="136"/>
        <v>5.7003535040750418E-2</v>
      </c>
      <c r="BC80" s="65">
        <f t="shared" si="137"/>
        <v>2.8772512389369623E-2</v>
      </c>
      <c r="BD80" s="65">
        <f t="shared" si="138"/>
        <v>1.726138101640704E-3</v>
      </c>
      <c r="BE80" s="65">
        <f t="shared" si="139"/>
        <v>2.640204675648657E-3</v>
      </c>
      <c r="BF80" s="65">
        <f t="shared" si="140"/>
        <v>3.4846409014292004E-5</v>
      </c>
      <c r="BG80" s="65">
        <f t="shared" si="141"/>
        <v>1.8170156558588635E-4</v>
      </c>
      <c r="BH80" s="65">
        <f t="shared" si="142"/>
        <v>5.2759635224311946E-7</v>
      </c>
      <c r="BI80" s="65">
        <f t="shared" si="143"/>
        <v>1.0003908936567816E-5</v>
      </c>
      <c r="BJ80" s="65">
        <f t="shared" si="144"/>
        <v>6.3905100990137436E-9</v>
      </c>
    </row>
    <row r="81" spans="1:62" x14ac:dyDescent="0.3">
      <c r="A81" s="38"/>
      <c r="B81" s="62">
        <f t="shared" si="145"/>
        <v>4172</v>
      </c>
      <c r="C81" s="63">
        <v>540</v>
      </c>
      <c r="D81" s="64">
        <f t="shared" si="109"/>
        <v>0.91644048</v>
      </c>
      <c r="E81" s="65">
        <f t="shared" si="110"/>
        <v>1.0942729486433886</v>
      </c>
      <c r="F81" s="65">
        <f t="shared" si="146"/>
        <v>1.0942729486433886</v>
      </c>
      <c r="G81" s="65">
        <f t="shared" si="147"/>
        <v>0.24074004870154542</v>
      </c>
      <c r="H81" s="65">
        <f t="shared" si="111"/>
        <v>0.33478292286454508</v>
      </c>
      <c r="I81" s="65"/>
      <c r="J81" s="65"/>
      <c r="K81" s="65"/>
      <c r="L81" s="65"/>
      <c r="M81" s="65"/>
      <c r="N81" s="65"/>
      <c r="O81" s="65"/>
      <c r="P81" s="65"/>
      <c r="Q81" s="65"/>
      <c r="R81" s="65"/>
      <c r="S81" s="65"/>
      <c r="T81" s="65"/>
      <c r="U81" s="65"/>
      <c r="V81" s="76"/>
      <c r="W81" s="62"/>
      <c r="X81" s="63"/>
      <c r="Y81" s="86"/>
      <c r="Z81" s="65"/>
      <c r="AA81" s="65"/>
      <c r="AB81" s="65"/>
      <c r="AC81" s="65"/>
      <c r="AD81" s="65"/>
      <c r="AE81" s="65"/>
      <c r="AF81" s="65"/>
      <c r="AG81" s="65"/>
      <c r="AH81" s="65"/>
      <c r="AI81" s="65"/>
      <c r="AJ81" s="65"/>
      <c r="AK81" s="65"/>
      <c r="AL81" s="65"/>
      <c r="AM81" s="65"/>
      <c r="AN81" s="65"/>
      <c r="AO81" s="65"/>
      <c r="AP81" s="65"/>
      <c r="AQ81" s="76"/>
      <c r="AR81" s="62">
        <f t="shared" si="159"/>
        <v>491</v>
      </c>
      <c r="AS81" s="63">
        <v>540</v>
      </c>
      <c r="AT81" s="64">
        <f t="shared" si="132"/>
        <v>0.91644048</v>
      </c>
      <c r="AU81" s="65">
        <f t="shared" si="133"/>
        <v>0.30862296</v>
      </c>
      <c r="AV81" s="65">
        <f t="shared" si="160"/>
        <v>0.30862296</v>
      </c>
      <c r="AW81" s="65">
        <f t="shared" si="161"/>
        <v>6.7897051200000003E-2</v>
      </c>
      <c r="AX81" s="65">
        <f t="shared" si="134"/>
        <v>0.73445763773561468</v>
      </c>
      <c r="AY81" s="65">
        <f t="shared" ref="AY81:AZ85" si="163">SUM(BA81,BC81,BE81,BG81,BI81)</f>
        <v>0.26554144038721078</v>
      </c>
      <c r="AZ81" s="65">
        <f t="shared" si="163"/>
        <v>6.5643340348730608E-2</v>
      </c>
      <c r="BA81" s="65">
        <f t="shared" si="135"/>
        <v>0.2266704901525731</v>
      </c>
      <c r="BB81" s="65">
        <f t="shared" si="136"/>
        <v>6.3440061950686272E-2</v>
      </c>
      <c r="BC81" s="65">
        <f t="shared" si="137"/>
        <v>3.4977858807768977E-2</v>
      </c>
      <c r="BD81" s="65">
        <f t="shared" si="138"/>
        <v>2.1536965671984589E-3</v>
      </c>
      <c r="BE81" s="65">
        <f t="shared" si="139"/>
        <v>3.5983234399052447E-3</v>
      </c>
      <c r="BF81" s="65">
        <f t="shared" si="140"/>
        <v>4.8743215364112663E-5</v>
      </c>
      <c r="BG81" s="65">
        <f t="shared" si="141"/>
        <v>2.7763130776523466E-4</v>
      </c>
      <c r="BH81" s="65">
        <f t="shared" si="142"/>
        <v>8.2738014730744616E-7</v>
      </c>
      <c r="BI81" s="65">
        <f t="shared" si="143"/>
        <v>1.7136679198235539E-5</v>
      </c>
      <c r="BJ81" s="65">
        <f t="shared" si="144"/>
        <v>1.123533444471944E-8</v>
      </c>
    </row>
    <row r="82" spans="1:62" x14ac:dyDescent="0.3">
      <c r="A82" s="38"/>
      <c r="B82" s="62">
        <f t="shared" si="145"/>
        <v>4172</v>
      </c>
      <c r="C82" s="63">
        <v>570</v>
      </c>
      <c r="D82" s="64">
        <f t="shared" si="109"/>
        <v>1.0210957199999999</v>
      </c>
      <c r="E82" s="65">
        <f t="shared" si="110"/>
        <v>1.2192362174699485</v>
      </c>
      <c r="F82" s="65">
        <f t="shared" si="146"/>
        <v>1.2192362174699485</v>
      </c>
      <c r="G82" s="65">
        <f t="shared" si="147"/>
        <v>0.26823196784338865</v>
      </c>
      <c r="H82" s="65">
        <f t="shared" si="111"/>
        <v>0.29545574470307223</v>
      </c>
      <c r="I82" s="65"/>
      <c r="J82" s="65"/>
      <c r="K82" s="65"/>
      <c r="L82" s="65"/>
      <c r="M82" s="65"/>
      <c r="N82" s="65"/>
      <c r="O82" s="65"/>
      <c r="P82" s="65"/>
      <c r="Q82" s="65"/>
      <c r="R82" s="65"/>
      <c r="S82" s="65"/>
      <c r="T82" s="65"/>
      <c r="U82" s="65"/>
      <c r="V82" s="76"/>
      <c r="W82" s="62"/>
      <c r="X82" s="63"/>
      <c r="Y82" s="86"/>
      <c r="Z82" s="65"/>
      <c r="AA82" s="65"/>
      <c r="AB82" s="65"/>
      <c r="AC82" s="65"/>
      <c r="AD82" s="65"/>
      <c r="AE82" s="65"/>
      <c r="AF82" s="65"/>
      <c r="AG82" s="65"/>
      <c r="AH82" s="65"/>
      <c r="AI82" s="65"/>
      <c r="AJ82" s="65"/>
      <c r="AK82" s="65"/>
      <c r="AL82" s="65"/>
      <c r="AM82" s="65"/>
      <c r="AN82" s="65"/>
      <c r="AO82" s="65"/>
      <c r="AP82" s="65"/>
      <c r="AQ82" s="76"/>
      <c r="AR82" s="62">
        <f t="shared" si="159"/>
        <v>491</v>
      </c>
      <c r="AS82" s="63">
        <v>570</v>
      </c>
      <c r="AT82" s="64">
        <f t="shared" si="132"/>
        <v>1.0210957199999999</v>
      </c>
      <c r="AU82" s="65">
        <f t="shared" si="133"/>
        <v>0.34386694000000001</v>
      </c>
      <c r="AV82" s="65">
        <f t="shared" si="160"/>
        <v>0.34386694000000001</v>
      </c>
      <c r="AW82" s="65">
        <f t="shared" si="161"/>
        <v>7.5650726800000012E-2</v>
      </c>
      <c r="AX82" s="65">
        <f t="shared" si="134"/>
        <v>0.70902326440873575</v>
      </c>
      <c r="AY82" s="65">
        <f t="shared" si="163"/>
        <v>0.29097502398052388</v>
      </c>
      <c r="AZ82" s="65">
        <f t="shared" si="163"/>
        <v>7.2860024595776729E-2</v>
      </c>
      <c r="BA82" s="65">
        <f t="shared" si="135"/>
        <v>0.24380966032104287</v>
      </c>
      <c r="BB82" s="65">
        <f t="shared" si="136"/>
        <v>7.013881296620425E-2</v>
      </c>
      <c r="BC82" s="65">
        <f t="shared" si="137"/>
        <v>4.1919040918518218E-2</v>
      </c>
      <c r="BD82" s="65">
        <f t="shared" si="138"/>
        <v>2.6530260888913077E-3</v>
      </c>
      <c r="BE82" s="65">
        <f t="shared" si="139"/>
        <v>4.8048574427952163E-3</v>
      </c>
      <c r="BF82" s="65">
        <f t="shared" si="140"/>
        <v>6.6901117281329615E-5</v>
      </c>
      <c r="BG82" s="65">
        <f t="shared" si="141"/>
        <v>4.1305790649755404E-4</v>
      </c>
      <c r="BH82" s="65">
        <f t="shared" si="142"/>
        <v>1.2652795365161568E-6</v>
      </c>
      <c r="BI82" s="65">
        <f t="shared" si="143"/>
        <v>2.8407391670024007E-5</v>
      </c>
      <c r="BJ82" s="65">
        <f t="shared" si="144"/>
        <v>1.9143863308522882E-8</v>
      </c>
    </row>
    <row r="83" spans="1:62" x14ac:dyDescent="0.3">
      <c r="A83" s="38"/>
      <c r="B83" s="62">
        <f t="shared" si="145"/>
        <v>4172</v>
      </c>
      <c r="C83" s="63">
        <v>600</v>
      </c>
      <c r="D83" s="64">
        <f t="shared" si="109"/>
        <v>1.131408</v>
      </c>
      <c r="E83" s="65">
        <f t="shared" si="110"/>
        <v>1.3509542575844304</v>
      </c>
      <c r="F83" s="65">
        <f t="shared" si="146"/>
        <v>1.3509542575844304</v>
      </c>
      <c r="G83" s="65">
        <f t="shared" si="147"/>
        <v>0.29720993666857476</v>
      </c>
      <c r="H83" s="65">
        <f t="shared" si="111"/>
        <v>0.25899299665651243</v>
      </c>
      <c r="I83" s="65"/>
      <c r="J83" s="65"/>
      <c r="K83" s="65"/>
      <c r="L83" s="65"/>
      <c r="M83" s="65"/>
      <c r="N83" s="65"/>
      <c r="O83" s="65"/>
      <c r="P83" s="65"/>
      <c r="Q83" s="65"/>
      <c r="R83" s="65"/>
      <c r="S83" s="65"/>
      <c r="T83" s="65"/>
      <c r="U83" s="65"/>
      <c r="V83" s="76"/>
      <c r="W83" s="62"/>
      <c r="X83" s="63"/>
      <c r="Y83" s="86"/>
      <c r="Z83" s="65"/>
      <c r="AA83" s="65"/>
      <c r="AB83" s="65"/>
      <c r="AC83" s="65"/>
      <c r="AD83" s="65"/>
      <c r="AE83" s="65"/>
      <c r="AF83" s="65"/>
      <c r="AG83" s="65"/>
      <c r="AH83" s="65"/>
      <c r="AI83" s="65"/>
      <c r="AJ83" s="65"/>
      <c r="AK83" s="65"/>
      <c r="AL83" s="65"/>
      <c r="AM83" s="65"/>
      <c r="AN83" s="65"/>
      <c r="AO83" s="65"/>
      <c r="AP83" s="65"/>
      <c r="AQ83" s="76"/>
      <c r="AR83" s="62">
        <f t="shared" si="159"/>
        <v>491</v>
      </c>
      <c r="AS83" s="63">
        <v>600</v>
      </c>
      <c r="AT83" s="64">
        <f t="shared" si="132"/>
        <v>1.131408</v>
      </c>
      <c r="AU83" s="65">
        <f t="shared" si="133"/>
        <v>0.38101600000000002</v>
      </c>
      <c r="AV83" s="65">
        <f t="shared" si="160"/>
        <v>0.38101600000000002</v>
      </c>
      <c r="AW83" s="65">
        <f t="shared" si="161"/>
        <v>8.3823519999999985E-2</v>
      </c>
      <c r="AX83" s="65">
        <f t="shared" si="134"/>
        <v>0.68316695886111212</v>
      </c>
      <c r="AY83" s="65">
        <f t="shared" si="163"/>
        <v>0.31682997222261122</v>
      </c>
      <c r="AZ83" s="65">
        <f t="shared" si="163"/>
        <v>8.0406467909608814E-2</v>
      </c>
      <c r="BA83" s="65">
        <f t="shared" si="135"/>
        <v>0.2602975419974255</v>
      </c>
      <c r="BB83" s="65">
        <f t="shared" si="136"/>
        <v>7.7083566791461583E-2</v>
      </c>
      <c r="BC83" s="65">
        <f t="shared" si="137"/>
        <v>4.9588764130845536E-2</v>
      </c>
      <c r="BD83" s="65">
        <f t="shared" si="138"/>
        <v>3.2307079513077073E-3</v>
      </c>
      <c r="BE83" s="65">
        <f t="shared" si="139"/>
        <v>6.2980375180260806E-3</v>
      </c>
      <c r="BF83" s="65">
        <f t="shared" si="140"/>
        <v>9.0269770856866863E-5</v>
      </c>
      <c r="BG83" s="65">
        <f t="shared" si="141"/>
        <v>5.9991326574205639E-4</v>
      </c>
      <c r="BH83" s="65">
        <f t="shared" si="142"/>
        <v>1.8916824857039989E-6</v>
      </c>
      <c r="BI83" s="65">
        <f t="shared" si="143"/>
        <v>4.5715310571995074E-5</v>
      </c>
      <c r="BJ83" s="65">
        <f t="shared" si="144"/>
        <v>3.1713496934811766E-8</v>
      </c>
    </row>
    <row r="84" spans="1:62" x14ac:dyDescent="0.3">
      <c r="A84" s="38"/>
      <c r="B84" s="62">
        <f t="shared" si="145"/>
        <v>4172</v>
      </c>
      <c r="C84" s="63">
        <v>630</v>
      </c>
      <c r="D84" s="64">
        <f t="shared" si="109"/>
        <v>1.2473773199999998</v>
      </c>
      <c r="E84" s="65">
        <f t="shared" si="110"/>
        <v>1.4894270689868343</v>
      </c>
      <c r="F84" s="65">
        <f t="shared" si="146"/>
        <v>1.4894270689868343</v>
      </c>
      <c r="G84" s="65">
        <f t="shared" si="147"/>
        <v>0.32767395517710352</v>
      </c>
      <c r="H84" s="65">
        <f t="shared" si="111"/>
        <v>0.22550181551966289</v>
      </c>
      <c r="I84" s="65"/>
      <c r="J84" s="65"/>
      <c r="K84" s="65"/>
      <c r="L84" s="65"/>
      <c r="M84" s="65"/>
      <c r="N84" s="65"/>
      <c r="O84" s="65"/>
      <c r="P84" s="65"/>
      <c r="Q84" s="65"/>
      <c r="R84" s="65"/>
      <c r="S84" s="65"/>
      <c r="T84" s="65"/>
      <c r="U84" s="65"/>
      <c r="V84" s="76"/>
      <c r="W84" s="62"/>
      <c r="X84" s="63"/>
      <c r="Y84" s="86"/>
      <c r="Z84" s="65"/>
      <c r="AA84" s="65"/>
      <c r="AB84" s="65"/>
      <c r="AC84" s="65"/>
      <c r="AD84" s="65"/>
      <c r="AE84" s="65"/>
      <c r="AF84" s="65"/>
      <c r="AG84" s="65"/>
      <c r="AH84" s="65"/>
      <c r="AI84" s="65"/>
      <c r="AJ84" s="65"/>
      <c r="AK84" s="65"/>
      <c r="AL84" s="65"/>
      <c r="AM84" s="65"/>
      <c r="AN84" s="65"/>
      <c r="AO84" s="65"/>
      <c r="AP84" s="65"/>
      <c r="AQ84" s="76"/>
      <c r="AR84" s="62">
        <f t="shared" si="159"/>
        <v>491</v>
      </c>
      <c r="AS84" s="73">
        <v>630</v>
      </c>
      <c r="AT84" s="64">
        <f t="shared" si="132"/>
        <v>1.2473773199999998</v>
      </c>
      <c r="AU84" s="65">
        <f t="shared" si="133"/>
        <v>0.42007013999999993</v>
      </c>
      <c r="AV84" s="65">
        <f t="shared" si="160"/>
        <v>0.42007013999999993</v>
      </c>
      <c r="AW84" s="65">
        <f t="shared" si="161"/>
        <v>9.2415430799999976E-2</v>
      </c>
      <c r="AX84" s="65">
        <f t="shared" si="134"/>
        <v>0.65700073616728738</v>
      </c>
      <c r="AY84" s="65">
        <f t="shared" si="163"/>
        <v>0.34299393262022021</v>
      </c>
      <c r="AZ84" s="74">
        <f t="shared" si="163"/>
        <v>8.827368753156542E-2</v>
      </c>
      <c r="BA84" s="65">
        <f t="shared" si="135"/>
        <v>0.27598639122189544</v>
      </c>
      <c r="BB84" s="65">
        <f t="shared" si="136"/>
        <v>8.4257579864589385E-2</v>
      </c>
      <c r="BC84" s="65">
        <f t="shared" si="137"/>
        <v>5.7966820999338177E-2</v>
      </c>
      <c r="BD84" s="65">
        <f t="shared" si="138"/>
        <v>3.8933502706757165E-3</v>
      </c>
      <c r="BE84" s="65">
        <f t="shared" si="139"/>
        <v>8.1167102041823074E-3</v>
      </c>
      <c r="BF84" s="65">
        <f t="shared" si="140"/>
        <v>1.1993521417326428E-4</v>
      </c>
      <c r="BG84" s="65">
        <f t="shared" si="141"/>
        <v>8.5239689795257249E-4</v>
      </c>
      <c r="BH84" s="65">
        <f t="shared" si="142"/>
        <v>2.7709661214781205E-6</v>
      </c>
      <c r="BI84" s="65">
        <f t="shared" si="143"/>
        <v>7.1613296851700563E-5</v>
      </c>
      <c r="BJ84" s="65">
        <f t="shared" si="144"/>
        <v>5.1216005569721109E-8</v>
      </c>
    </row>
    <row r="85" spans="1:62" x14ac:dyDescent="0.3">
      <c r="A85" s="38"/>
      <c r="B85" s="62">
        <f t="shared" si="145"/>
        <v>4172</v>
      </c>
      <c r="C85" s="63">
        <v>660</v>
      </c>
      <c r="D85" s="64">
        <f t="shared" si="109"/>
        <v>1.3690036799999998</v>
      </c>
      <c r="E85" s="65">
        <f t="shared" si="110"/>
        <v>1.6346546516771607</v>
      </c>
      <c r="F85" s="65">
        <f t="shared" si="146"/>
        <v>1.6346546516771607</v>
      </c>
      <c r="G85" s="65">
        <f t="shared" si="147"/>
        <v>0.35962402336897537</v>
      </c>
      <c r="H85" s="65">
        <f t="shared" si="111"/>
        <v>0.19501970940052513</v>
      </c>
      <c r="I85" s="65"/>
      <c r="J85" s="65"/>
      <c r="K85" s="65"/>
      <c r="L85" s="65"/>
      <c r="M85" s="65"/>
      <c r="N85" s="65"/>
      <c r="O85" s="65"/>
      <c r="P85" s="65"/>
      <c r="Q85" s="65"/>
      <c r="R85" s="65"/>
      <c r="S85" s="65"/>
      <c r="T85" s="65"/>
      <c r="U85" s="65"/>
      <c r="V85" s="76"/>
      <c r="W85" s="62"/>
      <c r="X85" s="63"/>
      <c r="Y85" s="86"/>
      <c r="Z85" s="65"/>
      <c r="AA85" s="65"/>
      <c r="AB85" s="65"/>
      <c r="AC85" s="65"/>
      <c r="AD85" s="65"/>
      <c r="AE85" s="65"/>
      <c r="AF85" s="65"/>
      <c r="AG85" s="65"/>
      <c r="AH85" s="65"/>
      <c r="AI85" s="65"/>
      <c r="AJ85" s="65"/>
      <c r="AK85" s="65"/>
      <c r="AL85" s="65"/>
      <c r="AM85" s="65"/>
      <c r="AN85" s="65"/>
      <c r="AO85" s="65"/>
      <c r="AP85" s="65"/>
      <c r="AQ85" s="76"/>
      <c r="AR85" s="62">
        <f t="shared" si="159"/>
        <v>491</v>
      </c>
      <c r="AS85" s="63">
        <v>660</v>
      </c>
      <c r="AT85" s="64">
        <f t="shared" si="132"/>
        <v>1.3690036799999998</v>
      </c>
      <c r="AU85" s="65">
        <f t="shared" si="133"/>
        <v>0.46102935999999989</v>
      </c>
      <c r="AV85" s="65">
        <f t="shared" si="160"/>
        <v>0.46102935999999989</v>
      </c>
      <c r="AW85" s="65">
        <f t="shared" si="161"/>
        <v>0.10142645919999999</v>
      </c>
      <c r="AX85" s="65">
        <f t="shared" si="134"/>
        <v>0.6306341617072575</v>
      </c>
      <c r="AY85" s="65">
        <f t="shared" si="163"/>
        <v>0.36935684034015553</v>
      </c>
      <c r="AZ85" s="65">
        <f t="shared" si="163"/>
        <v>9.6452374099592703E-2</v>
      </c>
      <c r="BA85" s="65">
        <f t="shared" si="135"/>
        <v>0.29074086396603338</v>
      </c>
      <c r="BB85" s="65">
        <f t="shared" si="136"/>
        <v>9.1643636273038301E-2</v>
      </c>
      <c r="BC85" s="65">
        <f t="shared" si="137"/>
        <v>6.7020037220053688E-2</v>
      </c>
      <c r="BD85" s="65">
        <f t="shared" si="138"/>
        <v>4.6475447676934799E-3</v>
      </c>
      <c r="BE85" s="65">
        <f t="shared" si="139"/>
        <v>1.0299401622245843E-2</v>
      </c>
      <c r="BF85" s="65">
        <f t="shared" si="140"/>
        <v>1.5712800325354539E-4</v>
      </c>
      <c r="BG85" s="65">
        <f t="shared" si="141"/>
        <v>1.1870816345717402E-3</v>
      </c>
      <c r="BH85" s="65">
        <f t="shared" si="142"/>
        <v>3.9842342527932964E-6</v>
      </c>
      <c r="BI85" s="65">
        <f t="shared" si="143"/>
        <v>1.0945589725087263E-4</v>
      </c>
      <c r="BJ85" s="65">
        <f t="shared" si="144"/>
        <v>8.0821354576836352E-8</v>
      </c>
    </row>
    <row r="86" spans="1:62" ht="15" thickBot="1" x14ac:dyDescent="0.35">
      <c r="B86" s="62">
        <f t="shared" si="145"/>
        <v>4172</v>
      </c>
      <c r="C86" s="63">
        <v>690</v>
      </c>
      <c r="D86" s="64">
        <f t="shared" si="109"/>
        <v>1.4962870799999999</v>
      </c>
      <c r="E86" s="65">
        <f t="shared" si="110"/>
        <v>1.7866370056554091</v>
      </c>
      <c r="F86" s="65">
        <f t="shared" si="146"/>
        <v>1.7866370056554091</v>
      </c>
      <c r="G86" s="65">
        <f t="shared" si="147"/>
        <v>0.39306014124418986</v>
      </c>
      <c r="H86" s="65">
        <f t="shared" si="111"/>
        <v>0.1675226009699696</v>
      </c>
    </row>
    <row r="87" spans="1:62" ht="41.25" customHeight="1" x14ac:dyDescent="0.3">
      <c r="B87" s="62">
        <f t="shared" si="145"/>
        <v>4172</v>
      </c>
      <c r="C87" s="63">
        <v>720</v>
      </c>
      <c r="D87" s="64">
        <f t="shared" si="109"/>
        <v>1.6292275199999999</v>
      </c>
      <c r="E87" s="65">
        <f t="shared" si="110"/>
        <v>1.9453741309215797</v>
      </c>
      <c r="F87" s="65">
        <f t="shared" si="146"/>
        <v>1.9453741309215797</v>
      </c>
      <c r="G87" s="65">
        <f t="shared" si="147"/>
        <v>0.42798230880274746</v>
      </c>
      <c r="H87" s="65">
        <f t="shared" si="111"/>
        <v>0.14293373740244636</v>
      </c>
      <c r="V87" s="1389" t="s">
        <v>390</v>
      </c>
      <c r="W87" s="1390"/>
      <c r="X87" s="1390"/>
      <c r="Y87" s="1390"/>
      <c r="Z87" s="1390"/>
      <c r="AA87" s="1390"/>
      <c r="AB87" s="1390"/>
      <c r="AC87" s="1390"/>
      <c r="AD87" s="1390"/>
      <c r="AE87" s="1390"/>
      <c r="AF87" s="1390"/>
      <c r="AG87" s="1390"/>
      <c r="AH87" s="1390"/>
      <c r="AI87" s="1390"/>
      <c r="AJ87" s="1390"/>
      <c r="AK87" s="1390"/>
      <c r="AL87" s="1390"/>
      <c r="AM87" s="1390"/>
      <c r="AN87" s="1390"/>
      <c r="AO87" s="1390"/>
      <c r="AP87" s="1391"/>
    </row>
    <row r="88" spans="1:62" ht="89.25" customHeight="1" thickBot="1" x14ac:dyDescent="0.35">
      <c r="B88" s="62">
        <f t="shared" si="145"/>
        <v>4172</v>
      </c>
      <c r="C88" s="63">
        <v>750</v>
      </c>
      <c r="D88" s="64">
        <f t="shared" si="109"/>
        <v>1.767825</v>
      </c>
      <c r="E88" s="65">
        <f t="shared" si="110"/>
        <v>2.1108660274756725</v>
      </c>
      <c r="F88" s="65">
        <f t="shared" si="146"/>
        <v>2.1108660274756725</v>
      </c>
      <c r="G88" s="65">
        <f t="shared" si="147"/>
        <v>0.46439052604464792</v>
      </c>
      <c r="H88" s="65">
        <f t="shared" si="111"/>
        <v>0.12113301647468899</v>
      </c>
      <c r="V88" s="57"/>
      <c r="W88" s="58" t="s">
        <v>362</v>
      </c>
      <c r="X88" s="58" t="s">
        <v>363</v>
      </c>
      <c r="Y88" s="59" t="s">
        <v>364</v>
      </c>
      <c r="Z88" s="57" t="s">
        <v>365</v>
      </c>
      <c r="AA88" s="52" t="s">
        <v>366</v>
      </c>
      <c r="AB88" s="52" t="s">
        <v>367</v>
      </c>
      <c r="AC88" s="60" t="s">
        <v>368</v>
      </c>
      <c r="AD88" s="152" t="s">
        <v>382</v>
      </c>
      <c r="AE88" s="57" t="s">
        <v>419</v>
      </c>
      <c r="AF88" s="152" t="s">
        <v>383</v>
      </c>
      <c r="AG88" s="153" t="s">
        <v>371</v>
      </c>
      <c r="AH88" s="153" t="s">
        <v>372</v>
      </c>
      <c r="AI88" s="153" t="s">
        <v>373</v>
      </c>
      <c r="AJ88" s="153" t="s">
        <v>374</v>
      </c>
      <c r="AK88" s="153" t="s">
        <v>375</v>
      </c>
      <c r="AL88" s="153" t="s">
        <v>376</v>
      </c>
      <c r="AM88" s="153" t="s">
        <v>377</v>
      </c>
      <c r="AN88" s="153" t="s">
        <v>378</v>
      </c>
      <c r="AO88" s="153" t="s">
        <v>379</v>
      </c>
      <c r="AP88" s="155" t="s">
        <v>380</v>
      </c>
    </row>
    <row r="89" spans="1:62" ht="15" thickTop="1" x14ac:dyDescent="0.3">
      <c r="B89" s="62">
        <f t="shared" si="145"/>
        <v>4172</v>
      </c>
      <c r="C89" s="63">
        <v>780</v>
      </c>
      <c r="D89" s="64">
        <f t="shared" si="109"/>
        <v>1.9120795199999998</v>
      </c>
      <c r="E89" s="65">
        <f t="shared" si="110"/>
        <v>2.283112695317687</v>
      </c>
      <c r="F89" s="65">
        <f t="shared" si="146"/>
        <v>2.283112695317687</v>
      </c>
      <c r="G89" s="65">
        <f t="shared" si="147"/>
        <v>0.50228479296989104</v>
      </c>
      <c r="H89" s="65">
        <f t="shared" si="111"/>
        <v>0.1019663221397978</v>
      </c>
      <c r="V89" s="68"/>
      <c r="W89" s="62">
        <f>ROUNDUP(($F$4/$P$13),0)</f>
        <v>974</v>
      </c>
      <c r="X89" s="63">
        <v>30</v>
      </c>
      <c r="Y89" s="64">
        <f t="shared" ref="Y89:Y105" si="164">((X89^2)*3.1428)/1000000</f>
        <v>2.8285200000000002E-3</v>
      </c>
      <c r="Z89" s="65">
        <f>(W89/(1197/$Y89))</f>
        <v>2.3015693233082706E-3</v>
      </c>
      <c r="AA89" s="65">
        <f>1*$Z89</f>
        <v>2.3015693233082706E-3</v>
      </c>
      <c r="AB89" s="65">
        <f>1*($Z89-($Z89*0.78))</f>
        <v>5.0634525112781955E-4</v>
      </c>
      <c r="AC89" s="65">
        <f t="shared" ref="AC89:AC105" si="165">EXP(-$AA89)</f>
        <v>0.99770107725654833</v>
      </c>
      <c r="AD89" s="65">
        <f t="shared" ref="AD89:AD105" si="166">SUM(AG89,AI89,AK89,AM89,AO89)</f>
        <v>2.298922743451648E-3</v>
      </c>
      <c r="AE89" s="65">
        <f>EXP(-AB89)</f>
        <v>0.99949378291999502</v>
      </c>
      <c r="AF89" s="65">
        <f>SUM(AH89,AJ89,AL89,AN89,AP89)</f>
        <v>5.0621708000500901E-4</v>
      </c>
      <c r="AG89" s="154">
        <f t="shared" ref="AG89:AG105" si="167">EXP(-$AA89)*POWER($AA89,1)</f>
        <v>2.2962781932452866E-3</v>
      </c>
      <c r="AH89" s="154">
        <f>EXP(-$AB89)*POWER($AB89,1)</f>
        <v>5.060889305133192E-4</v>
      </c>
      <c r="AI89" s="154">
        <f t="shared" ref="AI89:AI105" si="168">EXP(-$AA89)*POWER($AA89,2)/FACT(2)</f>
        <v>2.6425217236775461E-6</v>
      </c>
      <c r="AJ89" s="154">
        <f>EXP(-$AB89)*POWER($AB89,2)/FACT(2)</f>
        <v>1.2812786330688811E-7</v>
      </c>
      <c r="AK89" s="154">
        <f t="shared" ref="AK89:AK105" si="169">EXP(-$AA89)*POWER($AA89,3)/FACT(3)</f>
        <v>2.0273156451306448E-9</v>
      </c>
      <c r="AL89" s="154">
        <f>EXP(-$AB89)*POWER($AB89,3)/FACT(3)</f>
        <v>2.1625645040865731E-11</v>
      </c>
      <c r="AM89" s="154">
        <f t="shared" ref="AM89:AM105" si="170">EXP(-$AA89)*POWER($AA89,4)/FACT(4)</f>
        <v>1.1665018743739022E-12</v>
      </c>
      <c r="AN89" s="154">
        <f>EXP(-$AB89)*POWER($AB89,4)/FACT(4)</f>
        <v>2.7375106672545614E-15</v>
      </c>
      <c r="AO89" s="154">
        <f t="shared" ref="AO89:AO105" si="171">EXP(-$AA89)*POWER($AA89,5)/FACT(5)</f>
        <v>5.3695698592811438E-16</v>
      </c>
      <c r="AP89" s="156">
        <f>EXP(-$AB89)*POWER($AB89,5)/FACT(5)</f>
        <v>2.7722510525521914E-19</v>
      </c>
    </row>
    <row r="90" spans="1:62" x14ac:dyDescent="0.3">
      <c r="B90" s="62">
        <f t="shared" si="145"/>
        <v>4172</v>
      </c>
      <c r="C90" s="63">
        <v>810</v>
      </c>
      <c r="D90" s="64">
        <f t="shared" si="109"/>
        <v>2.0619910799999999</v>
      </c>
      <c r="E90" s="65">
        <f t="shared" si="110"/>
        <v>2.4621141344476243</v>
      </c>
      <c r="F90" s="65">
        <f t="shared" si="146"/>
        <v>2.4621141344476243</v>
      </c>
      <c r="G90" s="65">
        <f t="shared" si="147"/>
        <v>0.54166510957847724</v>
      </c>
      <c r="H90" s="65">
        <f t="shared" si="111"/>
        <v>8.5254520788482044E-2</v>
      </c>
      <c r="V90" s="68"/>
      <c r="W90" s="62">
        <f t="shared" ref="W90:W105" si="172">ROUNDUP(($F$4/$P$13),0)</f>
        <v>974</v>
      </c>
      <c r="X90" s="63">
        <v>60</v>
      </c>
      <c r="Y90" s="64">
        <f t="shared" si="164"/>
        <v>1.1314080000000001E-2</v>
      </c>
      <c r="Z90" s="65">
        <f t="shared" ref="Z90:Z105" si="173">(W90/(1197/$Y90))</f>
        <v>9.2062772932330825E-3</v>
      </c>
      <c r="AA90" s="65">
        <f t="shared" ref="AA90:AA105" si="174">1*$Z90</f>
        <v>9.2062772932330825E-3</v>
      </c>
      <c r="AB90" s="65">
        <f t="shared" ref="AB90:AB105" si="175">1*($Z90-($Z90*0.78))</f>
        <v>2.0253810045112782E-3</v>
      </c>
      <c r="AC90" s="65">
        <f t="shared" si="165"/>
        <v>0.99083597072915952</v>
      </c>
      <c r="AD90" s="65">
        <f t="shared" si="166"/>
        <v>9.1640292708396673E-3</v>
      </c>
      <c r="AE90" s="65">
        <f t="shared" ref="AE90:AE105" si="176">EXP(-AB90)</f>
        <v>0.99797666869555401</v>
      </c>
      <c r="AF90" s="65">
        <f t="shared" ref="AF90:AF103" si="177">SUM(AH90,AJ90,AL90,AN90,AP90)</f>
        <v>2.02333130444595E-3</v>
      </c>
      <c r="AG90" s="154">
        <f t="shared" si="167"/>
        <v>9.1219106986424204E-3</v>
      </c>
      <c r="AH90" s="154">
        <f t="shared" ref="AH90:AH105" si="178">EXP(-$AB90)*POWER($AB90,1)</f>
        <v>2.0212829877214204E-3</v>
      </c>
      <c r="AI90" s="154">
        <f t="shared" si="168"/>
        <v>4.1989419667905821E-5</v>
      </c>
      <c r="AJ90" s="154">
        <f t="shared" ref="AJ90:AJ105" si="179">EXP(-$AB90)*POWER($AB90,2)/FACT(2)</f>
        <v>2.0469340840363837E-6</v>
      </c>
      <c r="AK90" s="154">
        <f t="shared" si="169"/>
        <v>1.2885541361489199E-7</v>
      </c>
      <c r="AL90" s="154">
        <f t="shared" ref="AL90:AL105" si="180">EXP(-$AB90)*POWER($AB90,3)/FACT(3)</f>
        <v>1.3819404704313279E-9</v>
      </c>
      <c r="AM90" s="154">
        <f t="shared" si="170"/>
        <v>2.9656966711823429E-10</v>
      </c>
      <c r="AN90" s="154">
        <f t="shared" ref="AN90:AN105" si="181">EXP(-$AB90)*POWER($AB90,4)/FACT(4)</f>
        <v>6.9973899454424801E-13</v>
      </c>
      <c r="AO90" s="154">
        <f t="shared" si="171"/>
        <v>5.4606051845045883E-13</v>
      </c>
      <c r="AP90" s="156">
        <f t="shared" ref="AP90:AP105" si="182">EXP(-$AB90)*POWER($AB90,5)/FACT(5)</f>
        <v>2.8344761353314809E-16</v>
      </c>
    </row>
    <row r="91" spans="1:62" x14ac:dyDescent="0.3">
      <c r="B91" s="62">
        <f t="shared" si="145"/>
        <v>4172</v>
      </c>
      <c r="C91" s="63">
        <v>840</v>
      </c>
      <c r="D91" s="64">
        <f t="shared" si="109"/>
        <v>2.2175596799999999</v>
      </c>
      <c r="E91" s="65">
        <f t="shared" si="110"/>
        <v>2.6478703448654834</v>
      </c>
      <c r="F91" s="65">
        <f t="shared" si="146"/>
        <v>2.6478703448654834</v>
      </c>
      <c r="G91" s="65">
        <f t="shared" si="147"/>
        <v>0.5825314758704061</v>
      </c>
      <c r="H91" s="65">
        <f t="shared" si="111"/>
        <v>7.0801836109730343E-2</v>
      </c>
      <c r="V91" s="68"/>
      <c r="W91" s="62">
        <f t="shared" si="172"/>
        <v>974</v>
      </c>
      <c r="X91" s="63">
        <v>90</v>
      </c>
      <c r="Y91" s="64">
        <f t="shared" si="164"/>
        <v>2.5456679999999999E-2</v>
      </c>
      <c r="Z91" s="65">
        <f t="shared" si="173"/>
        <v>2.0714123909774434E-2</v>
      </c>
      <c r="AA91" s="65">
        <f t="shared" si="174"/>
        <v>2.0714123909774434E-2</v>
      </c>
      <c r="AB91" s="65">
        <f t="shared" si="175"/>
        <v>4.5571072601503747E-3</v>
      </c>
      <c r="AC91" s="65">
        <f t="shared" si="165"/>
        <v>0.97949893987574166</v>
      </c>
      <c r="AD91" s="65">
        <f t="shared" si="166"/>
        <v>2.0501060124150577E-2</v>
      </c>
      <c r="AE91" s="65">
        <f t="shared" si="176"/>
        <v>0.99545326059801353</v>
      </c>
      <c r="AF91" s="65">
        <f t="shared" si="177"/>
        <v>4.5467394019864027E-3</v>
      </c>
      <c r="AG91" s="154">
        <f t="shared" si="167"/>
        <v>2.0289462410078812E-2</v>
      </c>
      <c r="AH91" s="154">
        <f t="shared" si="178"/>
        <v>4.5363872810115701E-3</v>
      </c>
      <c r="AI91" s="154">
        <f t="shared" si="168"/>
        <v>2.1013921921254154E-4</v>
      </c>
      <c r="AJ91" s="154">
        <f t="shared" si="179"/>
        <v>1.0336401706575822E-5</v>
      </c>
      <c r="AK91" s="154">
        <f t="shared" si="169"/>
        <v>1.4509499416906126E-6</v>
      </c>
      <c r="AL91" s="154">
        <f t="shared" si="180"/>
        <v>1.5701363753622468E-8</v>
      </c>
      <c r="AM91" s="154">
        <f t="shared" si="170"/>
        <v>7.5137892197648348E-9</v>
      </c>
      <c r="AN91" s="154">
        <f t="shared" si="181"/>
        <v>1.7888199688973721E-11</v>
      </c>
      <c r="AO91" s="154">
        <f t="shared" si="171"/>
        <v>3.1128312186027228E-11</v>
      </c>
      <c r="AP91" s="156">
        <f t="shared" si="182"/>
        <v>1.6303688934728367E-14</v>
      </c>
    </row>
    <row r="92" spans="1:62" x14ac:dyDescent="0.3">
      <c r="B92" s="62">
        <f t="shared" si="145"/>
        <v>4172</v>
      </c>
      <c r="C92" s="63">
        <v>870</v>
      </c>
      <c r="D92" s="64">
        <f t="shared" si="109"/>
        <v>2.37878532</v>
      </c>
      <c r="E92" s="65">
        <f t="shared" si="110"/>
        <v>2.840381326571265</v>
      </c>
      <c r="F92" s="65">
        <f t="shared" si="146"/>
        <v>2.840381326571265</v>
      </c>
      <c r="G92" s="65">
        <f t="shared" si="147"/>
        <v>0.62488389184567827</v>
      </c>
      <c r="H92" s="65">
        <f t="shared" si="111"/>
        <v>5.8403390952921519E-2</v>
      </c>
      <c r="V92" s="38"/>
      <c r="W92" s="62">
        <f t="shared" si="172"/>
        <v>974</v>
      </c>
      <c r="X92" s="63">
        <v>120</v>
      </c>
      <c r="Y92" s="64">
        <f t="shared" si="164"/>
        <v>4.5256320000000003E-2</v>
      </c>
      <c r="Z92" s="65">
        <f t="shared" si="173"/>
        <v>3.682510917293233E-2</v>
      </c>
      <c r="AA92" s="65">
        <f t="shared" si="174"/>
        <v>3.682510917293233E-2</v>
      </c>
      <c r="AB92" s="65">
        <f t="shared" si="175"/>
        <v>8.1015240180451129E-3</v>
      </c>
      <c r="AC92" s="65">
        <f t="shared" si="165"/>
        <v>0.96384468820413449</v>
      </c>
      <c r="AD92" s="65">
        <f t="shared" si="166"/>
        <v>3.6155311792509429E-2</v>
      </c>
      <c r="AE92" s="65">
        <f t="shared" si="176"/>
        <v>0.9919312048833635</v>
      </c>
      <c r="AF92" s="65">
        <f t="shared" si="177"/>
        <v>8.0687951166361436E-3</v>
      </c>
      <c r="AG92" s="154">
        <f t="shared" si="167"/>
        <v>3.5493685868868176E-2</v>
      </c>
      <c r="AH92" s="154">
        <f t="shared" si="178"/>
        <v>8.0361544806109974E-3</v>
      </c>
      <c r="AI92" s="154">
        <f t="shared" si="168"/>
        <v>6.53529428535418E-4</v>
      </c>
      <c r="AJ92" s="154">
        <f t="shared" si="179"/>
        <v>3.2552549268695417E-5</v>
      </c>
      <c r="AK92" s="154">
        <f t="shared" si="169"/>
        <v>8.0220975178469491E-6</v>
      </c>
      <c r="AL92" s="154">
        <f t="shared" si="180"/>
        <v>8.7908419916310945E-8</v>
      </c>
      <c r="AM92" s="154">
        <f t="shared" si="170"/>
        <v>7.3853654222655841E-8</v>
      </c>
      <c r="AN92" s="154">
        <f t="shared" si="181"/>
        <v>1.7804804383509713E-10</v>
      </c>
      <c r="AO92" s="154">
        <f t="shared" si="171"/>
        <v>5.4393377591385918E-10</v>
      </c>
      <c r="AP92" s="156">
        <f t="shared" si="182"/>
        <v>2.8849210069919765E-13</v>
      </c>
    </row>
    <row r="93" spans="1:62" x14ac:dyDescent="0.3">
      <c r="B93" s="62">
        <f t="shared" si="145"/>
        <v>4172</v>
      </c>
      <c r="C93" s="63">
        <v>900</v>
      </c>
      <c r="D93" s="64">
        <f t="shared" si="109"/>
        <v>2.545668</v>
      </c>
      <c r="E93" s="65">
        <f t="shared" si="110"/>
        <v>3.0396470795649684</v>
      </c>
      <c r="F93" s="65">
        <f t="shared" si="146"/>
        <v>3.0396470795649684</v>
      </c>
      <c r="G93" s="65">
        <f t="shared" si="147"/>
        <v>0.6687223575042931</v>
      </c>
      <c r="H93" s="65">
        <f t="shared" si="111"/>
        <v>4.7851774383544342E-2</v>
      </c>
      <c r="V93" s="76"/>
      <c r="W93" s="62">
        <f t="shared" si="172"/>
        <v>974</v>
      </c>
      <c r="X93" s="63">
        <v>150</v>
      </c>
      <c r="Y93" s="64">
        <f t="shared" si="164"/>
        <v>7.0712999999999998E-2</v>
      </c>
      <c r="Z93" s="65">
        <f t="shared" si="173"/>
        <v>5.753923308270676E-2</v>
      </c>
      <c r="AA93" s="65">
        <f t="shared" si="174"/>
        <v>5.753923308270676E-2</v>
      </c>
      <c r="AB93" s="65">
        <f t="shared" si="175"/>
        <v>1.2658631278195484E-2</v>
      </c>
      <c r="AC93" s="65">
        <f t="shared" si="165"/>
        <v>0.94408485030081446</v>
      </c>
      <c r="AD93" s="65">
        <f t="shared" si="166"/>
        <v>5.5915149651207308E-2</v>
      </c>
      <c r="AE93" s="65">
        <f t="shared" si="176"/>
        <v>0.98742115219006044</v>
      </c>
      <c r="AF93" s="65">
        <f t="shared" si="177"/>
        <v>1.2578847809933928E-2</v>
      </c>
      <c r="AG93" s="154">
        <f t="shared" si="167"/>
        <v>5.4321918251310886E-2</v>
      </c>
      <c r="AH93" s="154">
        <f t="shared" si="178"/>
        <v>1.2499400281864923E-2</v>
      </c>
      <c r="AI93" s="154">
        <f t="shared" si="168"/>
        <v>1.5628207578809595E-3</v>
      </c>
      <c r="AJ93" s="154">
        <f t="shared" si="179"/>
        <v>7.9112649683350369E-5</v>
      </c>
      <c r="AK93" s="154">
        <f t="shared" si="169"/>
        <v>2.9974502618068322E-5</v>
      </c>
      <c r="AL93" s="154">
        <f t="shared" si="180"/>
        <v>3.3381928726086033E-7</v>
      </c>
      <c r="AM93" s="154">
        <f t="shared" si="170"/>
        <v>4.3117747316980921E-7</v>
      </c>
      <c r="AN93" s="154">
        <f t="shared" si="181"/>
        <v>1.0564238177463125E-9</v>
      </c>
      <c r="AO93" s="154">
        <f t="shared" si="171"/>
        <v>4.9619242257460386E-9</v>
      </c>
      <c r="AP93" s="156">
        <f t="shared" si="182"/>
        <v>2.674575916470831E-12</v>
      </c>
    </row>
    <row r="94" spans="1:62" x14ac:dyDescent="0.3">
      <c r="B94" s="62">
        <f t="shared" si="145"/>
        <v>4172</v>
      </c>
      <c r="C94" s="63">
        <v>930</v>
      </c>
      <c r="D94" s="64">
        <f t="shared" si="109"/>
        <v>2.7182077199999997</v>
      </c>
      <c r="E94" s="65">
        <f t="shared" si="110"/>
        <v>3.2456676038465937</v>
      </c>
      <c r="F94" s="65">
        <f t="shared" si="146"/>
        <v>3.2456676038465937</v>
      </c>
      <c r="G94" s="65">
        <f t="shared" si="147"/>
        <v>0.71404687284625057</v>
      </c>
      <c r="H94" s="65">
        <f t="shared" si="111"/>
        <v>3.8942557475937049E-2</v>
      </c>
      <c r="V94" s="76"/>
      <c r="W94" s="62">
        <f t="shared" si="172"/>
        <v>974</v>
      </c>
      <c r="X94" s="63">
        <v>180</v>
      </c>
      <c r="Y94" s="64">
        <f t="shared" si="164"/>
        <v>0.10182672</v>
      </c>
      <c r="Z94" s="65">
        <f t="shared" si="173"/>
        <v>8.2856495639097735E-2</v>
      </c>
      <c r="AA94" s="65">
        <f t="shared" si="174"/>
        <v>8.2856495639097735E-2</v>
      </c>
      <c r="AB94" s="65">
        <f t="shared" si="175"/>
        <v>1.8228429040601499E-2</v>
      </c>
      <c r="AC94" s="65">
        <f t="shared" si="165"/>
        <v>0.92048323110039199</v>
      </c>
      <c r="AD94" s="65">
        <f t="shared" si="166"/>
        <v>7.9516768481001282E-2</v>
      </c>
      <c r="AE94" s="65">
        <f t="shared" si="176"/>
        <v>0.98193670387850807</v>
      </c>
      <c r="AF94" s="65">
        <f t="shared" si="177"/>
        <v>1.8063296121441742E-2</v>
      </c>
      <c r="AG94" s="154">
        <f t="shared" si="167"/>
        <v>7.6268014823532224E-2</v>
      </c>
      <c r="AH94" s="154">
        <f t="shared" si="178"/>
        <v>1.7899163529011511E-2</v>
      </c>
      <c r="AI94" s="154">
        <f t="shared" si="168"/>
        <v>3.1596502188143195E-3</v>
      </c>
      <c r="AJ94" s="154">
        <f t="shared" si="179"/>
        <v>1.6313681613735432E-4</v>
      </c>
      <c r="AK94" s="154">
        <f t="shared" si="169"/>
        <v>8.7265848192087623E-5</v>
      </c>
      <c r="AL94" s="154">
        <f t="shared" si="180"/>
        <v>9.9124262562313892E-7</v>
      </c>
      <c r="AM94" s="154">
        <f t="shared" si="170"/>
        <v>1.8076355925424679E-6</v>
      </c>
      <c r="AN94" s="154">
        <f t="shared" si="181"/>
        <v>4.5171989657977259E-9</v>
      </c>
      <c r="AO94" s="154">
        <f t="shared" si="171"/>
        <v>2.9954870118114566E-8</v>
      </c>
      <c r="AP94" s="156">
        <f t="shared" si="182"/>
        <v>1.6468288162064466E-11</v>
      </c>
    </row>
    <row r="95" spans="1:62" x14ac:dyDescent="0.3">
      <c r="B95" s="62">
        <f t="shared" si="145"/>
        <v>4172</v>
      </c>
      <c r="C95" s="63">
        <v>960</v>
      </c>
      <c r="D95" s="64">
        <f t="shared" si="109"/>
        <v>2.8964044800000002</v>
      </c>
      <c r="E95" s="65">
        <f t="shared" si="110"/>
        <v>3.4584428994161422</v>
      </c>
      <c r="F95" s="65">
        <f t="shared" si="146"/>
        <v>3.4584428994161422</v>
      </c>
      <c r="G95" s="65">
        <f t="shared" si="147"/>
        <v>0.76085743787155113</v>
      </c>
      <c r="H95" s="65">
        <f t="shared" si="111"/>
        <v>3.1478739440647698E-2</v>
      </c>
      <c r="V95" s="76"/>
      <c r="W95" s="62">
        <f t="shared" si="172"/>
        <v>974</v>
      </c>
      <c r="X95" s="63">
        <v>210</v>
      </c>
      <c r="Y95" s="64">
        <f t="shared" si="164"/>
        <v>0.13859748</v>
      </c>
      <c r="Z95" s="65">
        <f t="shared" si="173"/>
        <v>0.11277689684210525</v>
      </c>
      <c r="AA95" s="65">
        <f t="shared" si="174"/>
        <v>0.11277689684210525</v>
      </c>
      <c r="AB95" s="65">
        <f t="shared" si="175"/>
        <v>2.481091730526315E-2</v>
      </c>
      <c r="AC95" s="65">
        <f t="shared" si="165"/>
        <v>0.89334994707871196</v>
      </c>
      <c r="AD95" s="65">
        <f t="shared" si="166"/>
        <v>0.10665005032681364</v>
      </c>
      <c r="AE95" s="65">
        <f t="shared" si="176"/>
        <v>0.97549434369057086</v>
      </c>
      <c r="AF95" s="65">
        <f t="shared" si="177"/>
        <v>2.4505656309111924E-2</v>
      </c>
      <c r="AG95" s="154">
        <f t="shared" si="167"/>
        <v>0.10074923482559608</v>
      </c>
      <c r="AH95" s="154">
        <f t="shared" si="178"/>
        <v>2.4202909493058703E-2</v>
      </c>
      <c r="AI95" s="154">
        <f t="shared" si="168"/>
        <v>5.6810930314236431E-3</v>
      </c>
      <c r="AJ95" s="154">
        <f t="shared" si="179"/>
        <v>3.0024819298952397E-4</v>
      </c>
      <c r="AK95" s="154">
        <f t="shared" si="169"/>
        <v>2.1356534758508905E-4</v>
      </c>
      <c r="AL95" s="154">
        <f t="shared" si="180"/>
        <v>2.4831443624392567E-6</v>
      </c>
      <c r="AM95" s="154">
        <f t="shared" si="170"/>
        <v>6.0213092934129853E-6</v>
      </c>
      <c r="AN95" s="154">
        <f t="shared" si="181"/>
        <v>1.5402272358377693E-8</v>
      </c>
      <c r="AO95" s="154">
        <f t="shared" si="171"/>
        <v>1.3581291540752916E-7</v>
      </c>
      <c r="AP95" s="156">
        <f t="shared" si="182"/>
        <v>7.6428901159369884E-11</v>
      </c>
    </row>
    <row r="96" spans="1:62" x14ac:dyDescent="0.3">
      <c r="B96" s="62">
        <f t="shared" si="145"/>
        <v>4172</v>
      </c>
      <c r="C96" s="63">
        <v>990</v>
      </c>
      <c r="D96" s="64">
        <f t="shared" si="109"/>
        <v>3.0802582799999998</v>
      </c>
      <c r="E96" s="65">
        <f t="shared" si="110"/>
        <v>3.6779729662736118</v>
      </c>
      <c r="F96" s="65">
        <f t="shared" si="146"/>
        <v>3.6779729662736118</v>
      </c>
      <c r="G96" s="65">
        <f t="shared" si="147"/>
        <v>0.80915405258019435</v>
      </c>
      <c r="H96" s="65">
        <f t="shared" si="111"/>
        <v>2.5274154509837131E-2</v>
      </c>
      <c r="V96" s="76"/>
      <c r="W96" s="62">
        <f t="shared" si="172"/>
        <v>974</v>
      </c>
      <c r="X96" s="63">
        <v>240</v>
      </c>
      <c r="Y96" s="64">
        <f t="shared" si="164"/>
        <v>0.18102528000000001</v>
      </c>
      <c r="Z96" s="65">
        <f t="shared" si="173"/>
        <v>0.14730043669172932</v>
      </c>
      <c r="AA96" s="65">
        <f t="shared" si="174"/>
        <v>0.14730043669172932</v>
      </c>
      <c r="AB96" s="65">
        <f t="shared" si="175"/>
        <v>3.2406096072180451E-2</v>
      </c>
      <c r="AC96" s="65">
        <f t="shared" si="165"/>
        <v>0.86303465118726241</v>
      </c>
      <c r="AD96" s="65">
        <f t="shared" si="166"/>
        <v>0.1369653363063626</v>
      </c>
      <c r="AE96" s="65">
        <f t="shared" si="176"/>
        <v>0.968113355209682</v>
      </c>
      <c r="AF96" s="65">
        <f t="shared" si="177"/>
        <v>3.1886644788753575E-2</v>
      </c>
      <c r="AG96" s="154">
        <f t="shared" si="167"/>
        <v>0.12712538099997805</v>
      </c>
      <c r="AH96" s="154">
        <f t="shared" si="178"/>
        <v>3.1372774397685911E-2</v>
      </c>
      <c r="AI96" s="154">
        <f t="shared" si="168"/>
        <v>9.362812067949618E-3</v>
      </c>
      <c r="AJ96" s="154">
        <f t="shared" si="179"/>
        <v>5.0833457059112647E-4</v>
      </c>
      <c r="AK96" s="154">
        <f t="shared" si="169"/>
        <v>4.5971543542385737E-4</v>
      </c>
      <c r="AL96" s="154">
        <f t="shared" si="180"/>
        <v>5.4910463104622124E-6</v>
      </c>
      <c r="AM96" s="154">
        <f t="shared" si="170"/>
        <v>1.6929071097965667E-5</v>
      </c>
      <c r="AN96" s="154">
        <f t="shared" si="181"/>
        <v>4.4485843568407625E-8</v>
      </c>
      <c r="AO96" s="154">
        <f t="shared" si="171"/>
        <v>4.9873191310313528E-7</v>
      </c>
      <c r="AP96" s="156">
        <f t="shared" si="182"/>
        <v>2.8832250410596162E-10</v>
      </c>
    </row>
    <row r="97" spans="2:42" x14ac:dyDescent="0.3">
      <c r="B97" s="62">
        <f t="shared" si="145"/>
        <v>4172</v>
      </c>
      <c r="C97" s="63">
        <v>1020</v>
      </c>
      <c r="D97" s="64">
        <f t="shared" si="109"/>
        <v>3.2697691199999999</v>
      </c>
      <c r="E97" s="65">
        <f t="shared" si="110"/>
        <v>3.9042578044190042</v>
      </c>
      <c r="F97" s="65">
        <f t="shared" si="146"/>
        <v>3.9042578044190042</v>
      </c>
      <c r="G97" s="65">
        <f t="shared" si="147"/>
        <v>0.85893671697218066</v>
      </c>
      <c r="H97" s="65">
        <f t="shared" si="111"/>
        <v>2.015590856744719E-2</v>
      </c>
      <c r="V97" s="76"/>
      <c r="W97" s="62">
        <f t="shared" si="172"/>
        <v>974</v>
      </c>
      <c r="X97" s="63">
        <v>270</v>
      </c>
      <c r="Y97" s="64">
        <f t="shared" si="164"/>
        <v>0.22911012</v>
      </c>
      <c r="Z97" s="65">
        <f t="shared" si="173"/>
        <v>0.18642711518796992</v>
      </c>
      <c r="AA97" s="65">
        <f t="shared" si="174"/>
        <v>0.18642711518796992</v>
      </c>
      <c r="AB97" s="65">
        <f t="shared" si="175"/>
        <v>4.1013965341353376E-2</v>
      </c>
      <c r="AC97" s="65">
        <f t="shared" si="165"/>
        <v>0.82991904824088447</v>
      </c>
      <c r="AD97" s="65">
        <f t="shared" si="166"/>
        <v>0.17008090204946641</v>
      </c>
      <c r="AE97" s="65">
        <f t="shared" si="176"/>
        <v>0.95981572569995599</v>
      </c>
      <c r="AF97" s="65">
        <f t="shared" si="177"/>
        <v>4.0184274293661476E-2</v>
      </c>
      <c r="AG97" s="154">
        <f t="shared" si="167"/>
        <v>0.15471941400309375</v>
      </c>
      <c r="AH97" s="154">
        <f t="shared" si="178"/>
        <v>3.936584890794393E-2</v>
      </c>
      <c r="AI97" s="154">
        <f t="shared" si="168"/>
        <v>1.4421947008084982E-2</v>
      </c>
      <c r="AJ97" s="154">
        <f t="shared" si="179"/>
        <v>8.0727478137168304E-4</v>
      </c>
      <c r="AK97" s="154">
        <f t="shared" si="169"/>
        <v>8.9621399203701892E-4</v>
      </c>
      <c r="AL97" s="154">
        <f t="shared" si="180"/>
        <v>1.1036513301375609E-5</v>
      </c>
      <c r="AM97" s="154">
        <f t="shared" si="170"/>
        <v>4.1769647281638925E-5</v>
      </c>
      <c r="AN97" s="154">
        <f t="shared" si="181"/>
        <v>1.131627935080012E-7</v>
      </c>
      <c r="AO97" s="154">
        <f t="shared" si="171"/>
        <v>1.5573989690269948E-6</v>
      </c>
      <c r="AP97" s="156">
        <f t="shared" si="182"/>
        <v>9.2825097817357807E-10</v>
      </c>
    </row>
    <row r="98" spans="2:42" x14ac:dyDescent="0.3">
      <c r="B98" s="62">
        <f t="shared" si="145"/>
        <v>4172</v>
      </c>
      <c r="C98" s="63">
        <v>1050</v>
      </c>
      <c r="D98" s="64">
        <f t="shared" si="109"/>
        <v>3.4649369999999999</v>
      </c>
      <c r="E98" s="65">
        <f t="shared" si="110"/>
        <v>4.137297413852318</v>
      </c>
      <c r="F98" s="65">
        <f t="shared" si="146"/>
        <v>4.137297413852318</v>
      </c>
      <c r="G98" s="65">
        <f t="shared" si="147"/>
        <v>0.91020543104751006</v>
      </c>
      <c r="H98" s="65">
        <f t="shared" si="111"/>
        <v>1.5965942584869816E-2</v>
      </c>
      <c r="V98" s="76"/>
      <c r="W98" s="62">
        <f t="shared" si="172"/>
        <v>974</v>
      </c>
      <c r="X98" s="63">
        <v>300</v>
      </c>
      <c r="Y98" s="64">
        <f t="shared" si="164"/>
        <v>0.28285199999999999</v>
      </c>
      <c r="Z98" s="65">
        <f t="shared" si="173"/>
        <v>0.23015693233082704</v>
      </c>
      <c r="AA98" s="65">
        <f t="shared" si="174"/>
        <v>0.23015693233082704</v>
      </c>
      <c r="AB98" s="65">
        <f t="shared" si="175"/>
        <v>5.0634525112781936E-2</v>
      </c>
      <c r="AC98" s="65">
        <f t="shared" si="165"/>
        <v>0.79440892427645105</v>
      </c>
      <c r="AD98" s="65">
        <f t="shared" si="166"/>
        <v>0.20559090616737097</v>
      </c>
      <c r="AE98" s="65">
        <f t="shared" si="176"/>
        <v>0.95062603699535841</v>
      </c>
      <c r="AF98" s="65">
        <f t="shared" si="177"/>
        <v>4.9373962982228209E-2</v>
      </c>
      <c r="AG98" s="154">
        <f t="shared" si="167"/>
        <v>0.18283872102770024</v>
      </c>
      <c r="AH98" s="154">
        <f t="shared" si="178"/>
        <v>4.8134497943105849E-2</v>
      </c>
      <c r="AI98" s="154">
        <f t="shared" si="168"/>
        <v>2.1040799571513683E-2</v>
      </c>
      <c r="AJ98" s="154">
        <f t="shared" si="179"/>
        <v>1.2186337224456716E-3</v>
      </c>
      <c r="AK98" s="154">
        <f t="shared" si="169"/>
        <v>1.6142286277224564E-3</v>
      </c>
      <c r="AL98" s="154">
        <f t="shared" si="180"/>
        <v>2.0568313274152764E-5</v>
      </c>
      <c r="AM98" s="154">
        <f t="shared" si="170"/>
        <v>9.2881477259300298E-5</v>
      </c>
      <c r="AN98" s="154">
        <f t="shared" si="181"/>
        <v>2.6036669375191355E-7</v>
      </c>
      <c r="AO98" s="154">
        <f t="shared" si="171"/>
        <v>4.2754631752712055E-6</v>
      </c>
      <c r="AP98" s="156">
        <f t="shared" si="182"/>
        <v>2.6367087786626537E-9</v>
      </c>
    </row>
    <row r="99" spans="2:42" x14ac:dyDescent="0.3">
      <c r="B99" s="62">
        <f t="shared" si="145"/>
        <v>4172</v>
      </c>
      <c r="C99" s="63">
        <v>1080</v>
      </c>
      <c r="D99" s="64">
        <f t="shared" si="109"/>
        <v>3.66576192</v>
      </c>
      <c r="E99" s="65">
        <f t="shared" si="110"/>
        <v>4.3770917945735546</v>
      </c>
      <c r="F99" s="65">
        <f t="shared" si="146"/>
        <v>4.3770917945735546</v>
      </c>
      <c r="G99" s="65">
        <f t="shared" si="147"/>
        <v>0.96296019480618167</v>
      </c>
      <c r="H99" s="65">
        <f t="shared" si="111"/>
        <v>1.2561837955973411E-2</v>
      </c>
      <c r="V99" s="76"/>
      <c r="W99" s="62">
        <f t="shared" si="172"/>
        <v>974</v>
      </c>
      <c r="X99" s="63">
        <v>330</v>
      </c>
      <c r="Y99" s="64">
        <f t="shared" si="164"/>
        <v>0.34225091999999996</v>
      </c>
      <c r="Z99" s="65">
        <f t="shared" si="173"/>
        <v>0.27848988812030068</v>
      </c>
      <c r="AA99" s="65">
        <f t="shared" si="174"/>
        <v>0.27848988812030068</v>
      </c>
      <c r="AB99" s="65">
        <f t="shared" si="175"/>
        <v>6.1267775386466133E-2</v>
      </c>
      <c r="AC99" s="65">
        <f t="shared" si="165"/>
        <v>0.75692592165506933</v>
      </c>
      <c r="AD99" s="65">
        <f t="shared" si="166"/>
        <v>0.24307356770218308</v>
      </c>
      <c r="AE99" s="65">
        <f t="shared" si="176"/>
        <v>0.9405713441966056</v>
      </c>
      <c r="AF99" s="65">
        <f t="shared" si="177"/>
        <v>5.942865573368912E-2</v>
      </c>
      <c r="AG99" s="154">
        <f t="shared" si="167"/>
        <v>0.21079621523707573</v>
      </c>
      <c r="AH99" s="154">
        <f t="shared" si="178"/>
        <v>5.7626713851184161E-2</v>
      </c>
      <c r="AI99" s="154">
        <f t="shared" si="168"/>
        <v>2.9352307198778023E-2</v>
      </c>
      <c r="AJ99" s="154">
        <f t="shared" si="179"/>
        <v>1.7653302802472539E-3</v>
      </c>
      <c r="AK99" s="154">
        <f t="shared" si="169"/>
        <v>2.724773582620129E-3</v>
      </c>
      <c r="AL99" s="154">
        <f t="shared" si="180"/>
        <v>3.6052619697705355E-5</v>
      </c>
      <c r="AM99" s="154">
        <f t="shared" si="170"/>
        <v>1.8970547254425768E-4</v>
      </c>
      <c r="AN99" s="154">
        <f t="shared" si="181"/>
        <v>5.5221595143317406E-7</v>
      </c>
      <c r="AO99" s="154">
        <f t="shared" si="171"/>
        <v>1.0566211164931817E-5</v>
      </c>
      <c r="AP99" s="156">
        <f t="shared" si="182"/>
        <v>6.7666085754462805E-9</v>
      </c>
    </row>
    <row r="100" spans="2:42" x14ac:dyDescent="0.3">
      <c r="B100" s="62">
        <f t="shared" si="145"/>
        <v>4172</v>
      </c>
      <c r="C100" s="63">
        <v>1110</v>
      </c>
      <c r="D100" s="64">
        <f t="shared" si="109"/>
        <v>3.8722438800000001</v>
      </c>
      <c r="E100" s="65">
        <f t="shared" si="110"/>
        <v>4.6236409465827135</v>
      </c>
      <c r="F100" s="65">
        <f t="shared" si="146"/>
        <v>4.6236409465827135</v>
      </c>
      <c r="G100" s="65">
        <f t="shared" si="147"/>
        <v>1.0172010082481968</v>
      </c>
      <c r="H100" s="65">
        <f t="shared" si="111"/>
        <v>9.8169877846068978E-3</v>
      </c>
      <c r="V100" s="76"/>
      <c r="W100" s="62">
        <f t="shared" si="172"/>
        <v>974</v>
      </c>
      <c r="X100" s="63">
        <v>360</v>
      </c>
      <c r="Y100" s="64">
        <f t="shared" si="164"/>
        <v>0.40730687999999998</v>
      </c>
      <c r="Z100" s="65">
        <f t="shared" si="173"/>
        <v>0.33142598255639094</v>
      </c>
      <c r="AA100" s="65">
        <f t="shared" si="174"/>
        <v>0.33142598255639094</v>
      </c>
      <c r="AB100" s="65">
        <f t="shared" si="175"/>
        <v>7.2913716162405995E-2</v>
      </c>
      <c r="AC100" s="65">
        <f t="shared" si="165"/>
        <v>0.71789929132056118</v>
      </c>
      <c r="AD100" s="65">
        <f t="shared" si="166"/>
        <v>0.28209932197385051</v>
      </c>
      <c r="AE100" s="65">
        <f t="shared" si="176"/>
        <v>0.92968104301333032</v>
      </c>
      <c r="AF100" s="65">
        <f t="shared" si="177"/>
        <v>7.0318956790605458E-2</v>
      </c>
      <c r="AG100" s="154">
        <f t="shared" si="167"/>
        <v>0.23793047800245373</v>
      </c>
      <c r="AH100" s="154">
        <f t="shared" si="178"/>
        <v>6.7786499691843527E-2</v>
      </c>
      <c r="AI100" s="154">
        <f t="shared" si="168"/>
        <v>3.9428171226037492E-2</v>
      </c>
      <c r="AJ100" s="154">
        <f t="shared" si="179"/>
        <v>2.47128279908705E-3</v>
      </c>
      <c r="AK100" s="154">
        <f t="shared" si="169"/>
        <v>4.3558401296636988E-3</v>
      </c>
      <c r="AL100" s="154">
        <f t="shared" si="180"/>
        <v>6.0063470856556454E-5</v>
      </c>
      <c r="AM100" s="154">
        <f t="shared" si="170"/>
        <v>3.6090964870808716E-4</v>
      </c>
      <c r="AN100" s="154">
        <f t="shared" si="181"/>
        <v>1.0948627164409755E-6</v>
      </c>
      <c r="AO100" s="154">
        <f t="shared" si="171"/>
        <v>2.3922966987431933E-5</v>
      </c>
      <c r="AP100" s="156">
        <f t="shared" si="182"/>
        <v>1.596610186867562E-8</v>
      </c>
    </row>
    <row r="101" spans="2:42" x14ac:dyDescent="0.3">
      <c r="B101" s="62">
        <f t="shared" si="145"/>
        <v>4172</v>
      </c>
      <c r="C101" s="63">
        <v>1140</v>
      </c>
      <c r="D101" s="64">
        <f t="shared" si="109"/>
        <v>4.0843828799999997</v>
      </c>
      <c r="E101" s="65">
        <f t="shared" si="110"/>
        <v>4.8769448698797939</v>
      </c>
      <c r="F101" s="65">
        <f t="shared" si="146"/>
        <v>4.8769448698797939</v>
      </c>
      <c r="G101" s="65">
        <f t="shared" si="147"/>
        <v>1.0729278713735546</v>
      </c>
      <c r="H101" s="65">
        <f t="shared" si="111"/>
        <v>7.6202593846714907E-3</v>
      </c>
      <c r="V101" s="76"/>
      <c r="W101" s="62">
        <f t="shared" si="172"/>
        <v>974</v>
      </c>
      <c r="X101" s="63">
        <v>390</v>
      </c>
      <c r="Y101" s="64">
        <f t="shared" si="164"/>
        <v>0.47801987999999995</v>
      </c>
      <c r="Z101" s="65">
        <f t="shared" si="173"/>
        <v>0.38896521563909769</v>
      </c>
      <c r="AA101" s="65">
        <f t="shared" si="174"/>
        <v>0.38896521563909769</v>
      </c>
      <c r="AB101" s="65">
        <f t="shared" si="175"/>
        <v>8.5572347440601493E-2</v>
      </c>
      <c r="AC101" s="65">
        <f t="shared" si="165"/>
        <v>0.67775784497743286</v>
      </c>
      <c r="AD101" s="65">
        <f t="shared" si="166"/>
        <v>0.32223870475946986</v>
      </c>
      <c r="AE101" s="65">
        <f t="shared" si="176"/>
        <v>0.91798672666147973</v>
      </c>
      <c r="AF101" s="65">
        <f t="shared" si="177"/>
        <v>8.2013272831718484E-2</v>
      </c>
      <c r="AG101" s="154">
        <f t="shared" si="167"/>
        <v>0.2636242263227373</v>
      </c>
      <c r="AH101" s="154">
        <f t="shared" si="178"/>
        <v>7.8554279119736614E-2</v>
      </c>
      <c r="AI101" s="154">
        <f t="shared" si="168"/>
        <v>5.1270327019656912E-2</v>
      </c>
      <c r="AJ101" s="154">
        <f t="shared" si="179"/>
        <v>3.3610370328900447E-3</v>
      </c>
      <c r="AK101" s="154">
        <f t="shared" si="169"/>
        <v>6.6474579350293021E-3</v>
      </c>
      <c r="AL101" s="154">
        <f t="shared" si="180"/>
        <v>9.5870609579731759E-5</v>
      </c>
      <c r="AM101" s="154">
        <f t="shared" si="170"/>
        <v>6.4640747728762586E-4</v>
      </c>
      <c r="AN101" s="154">
        <f t="shared" si="181"/>
        <v>2.0509682780747657E-6</v>
      </c>
      <c r="AO101" s="154">
        <f t="shared" si="171"/>
        <v>5.028600475878132E-5</v>
      </c>
      <c r="AP101" s="156">
        <f t="shared" si="182"/>
        <v>3.5101234016213203E-8</v>
      </c>
    </row>
    <row r="102" spans="2:42" x14ac:dyDescent="0.3">
      <c r="B102" s="62">
        <f t="shared" si="145"/>
        <v>4172</v>
      </c>
      <c r="C102" s="63">
        <v>1170</v>
      </c>
      <c r="D102" s="64">
        <f t="shared" si="109"/>
        <v>4.3021789200000002</v>
      </c>
      <c r="E102" s="65">
        <f t="shared" si="110"/>
        <v>5.1370035644647976</v>
      </c>
      <c r="F102" s="65">
        <f t="shared" si="146"/>
        <v>5.1370035644647976</v>
      </c>
      <c r="G102" s="65">
        <f t="shared" si="147"/>
        <v>1.1301407841822551</v>
      </c>
      <c r="H102" s="65">
        <f t="shared" si="111"/>
        <v>5.8752682262346303E-3</v>
      </c>
      <c r="V102" s="76"/>
      <c r="W102" s="62">
        <f t="shared" si="172"/>
        <v>974</v>
      </c>
      <c r="X102" s="63">
        <v>420</v>
      </c>
      <c r="Y102" s="64">
        <f t="shared" si="164"/>
        <v>0.55438991999999998</v>
      </c>
      <c r="Z102" s="65">
        <f t="shared" si="173"/>
        <v>0.45110758736842099</v>
      </c>
      <c r="AA102" s="65">
        <f t="shared" si="174"/>
        <v>0.45110758736842099</v>
      </c>
      <c r="AB102" s="65">
        <f t="shared" si="175"/>
        <v>9.9243669221052599E-2</v>
      </c>
      <c r="AC102" s="65">
        <f t="shared" si="165"/>
        <v>0.63692231369602992</v>
      </c>
      <c r="AD102" s="65">
        <f t="shared" si="166"/>
        <v>0.3630697225983423</v>
      </c>
      <c r="AE102" s="65">
        <f t="shared" si="176"/>
        <v>0.90552203329032233</v>
      </c>
      <c r="AF102" s="65">
        <f t="shared" si="177"/>
        <v>9.447796549076215E-2</v>
      </c>
      <c r="AG102" s="154">
        <f t="shared" si="167"/>
        <v>0.28732048827252865</v>
      </c>
      <c r="AH102" s="154">
        <f t="shared" si="178"/>
        <v>8.9867329144239727E-2</v>
      </c>
      <c r="AI102" s="154">
        <f t="shared" si="168"/>
        <v>6.4806226133068551E-2</v>
      </c>
      <c r="AJ102" s="154">
        <f t="shared" si="179"/>
        <v>4.4593817436851934E-3</v>
      </c>
      <c r="AK102" s="154">
        <f t="shared" si="169"/>
        <v>9.7448601057802883E-3</v>
      </c>
      <c r="AL102" s="154">
        <f t="shared" si="180"/>
        <v>1.4752180223356472E-4</v>
      </c>
      <c r="AM102" s="154">
        <f t="shared" si="170"/>
        <v>1.0989950828903304E-3</v>
      </c>
      <c r="AN102" s="154">
        <f t="shared" si="181"/>
        <v>3.6601512359403581E-6</v>
      </c>
      <c r="AO102" s="154">
        <f t="shared" si="171"/>
        <v>9.915300407448297E-5</v>
      </c>
      <c r="AP102" s="156">
        <f t="shared" si="182"/>
        <v>7.2649367711738345E-8</v>
      </c>
    </row>
    <row r="103" spans="2:42" x14ac:dyDescent="0.3">
      <c r="B103" s="62">
        <f t="shared" si="145"/>
        <v>4172</v>
      </c>
      <c r="C103" s="63">
        <v>1200</v>
      </c>
      <c r="D103" s="64">
        <f t="shared" si="109"/>
        <v>4.5256319999999999</v>
      </c>
      <c r="E103" s="65">
        <f t="shared" si="110"/>
        <v>5.4038170303377218</v>
      </c>
      <c r="F103" s="65">
        <f t="shared" si="146"/>
        <v>5.4038170303377218</v>
      </c>
      <c r="G103" s="65">
        <f t="shared" si="147"/>
        <v>1.188839746674299</v>
      </c>
      <c r="H103" s="65">
        <f t="shared" si="111"/>
        <v>4.4993738769695708E-3</v>
      </c>
      <c r="V103" s="76"/>
      <c r="W103" s="62">
        <f t="shared" si="172"/>
        <v>974</v>
      </c>
      <c r="X103" s="63">
        <v>450</v>
      </c>
      <c r="Y103" s="64">
        <f t="shared" si="164"/>
        <v>0.63641700000000001</v>
      </c>
      <c r="Z103" s="65">
        <f t="shared" si="173"/>
        <v>0.51785309774436095</v>
      </c>
      <c r="AA103" s="65">
        <f t="shared" si="174"/>
        <v>0.51785309774436095</v>
      </c>
      <c r="AB103" s="65">
        <f t="shared" si="175"/>
        <v>0.11392768150375937</v>
      </c>
      <c r="AC103" s="65">
        <f t="shared" si="165"/>
        <v>0.59579829658556549</v>
      </c>
      <c r="AD103" s="65">
        <f t="shared" si="166"/>
        <v>0.40418448270076901</v>
      </c>
      <c r="AE103" s="65">
        <f t="shared" si="176"/>
        <v>0.89232248496933164</v>
      </c>
      <c r="AF103" s="65">
        <f t="shared" si="177"/>
        <v>0.1076775122759538</v>
      </c>
      <c r="AG103" s="154">
        <f t="shared" si="167"/>
        <v>0.3085359935176486</v>
      </c>
      <c r="AH103" s="154">
        <f t="shared" si="178"/>
        <v>0.10166023186622912</v>
      </c>
      <c r="AI103" s="154">
        <f t="shared" si="168"/>
        <v>7.9888160004374195E-2</v>
      </c>
      <c r="AJ103" s="154">
        <f t="shared" si="179"/>
        <v>5.7909572588270399E-3</v>
      </c>
      <c r="AK103" s="154">
        <f t="shared" si="169"/>
        <v>1.379011037712078E-2</v>
      </c>
      <c r="AL103" s="154">
        <f t="shared" si="180"/>
        <v>2.1991677806184348E-4</v>
      </c>
      <c r="AM103" s="154">
        <f t="shared" si="170"/>
        <v>1.7853128442571634E-3</v>
      </c>
      <c r="AN103" s="154">
        <f t="shared" si="181"/>
        <v>6.2636521620906594E-6</v>
      </c>
      <c r="AO103" s="154">
        <f t="shared" si="171"/>
        <v>1.849059573682736E-4</v>
      </c>
      <c r="AP103" s="156">
        <f t="shared" si="182"/>
        <v>1.4272067371459967E-7</v>
      </c>
    </row>
    <row r="104" spans="2:42" x14ac:dyDescent="0.3">
      <c r="B104" s="62">
        <f t="shared" si="145"/>
        <v>4172</v>
      </c>
      <c r="C104" s="63">
        <v>1230</v>
      </c>
      <c r="D104" s="64">
        <f t="shared" si="109"/>
        <v>4.7547421200000004</v>
      </c>
      <c r="E104" s="65">
        <f t="shared" si="110"/>
        <v>5.6773852674985701</v>
      </c>
      <c r="F104" s="65">
        <f t="shared" si="146"/>
        <v>5.6773852674985701</v>
      </c>
      <c r="G104" s="65">
        <f t="shared" si="147"/>
        <v>1.2490247588496857</v>
      </c>
      <c r="H104" s="65">
        <f t="shared" si="111"/>
        <v>3.4224956647326056E-3</v>
      </c>
      <c r="V104" s="76"/>
      <c r="W104" s="62">
        <f t="shared" si="172"/>
        <v>974</v>
      </c>
      <c r="X104" s="63">
        <v>480</v>
      </c>
      <c r="Y104" s="64">
        <f t="shared" si="164"/>
        <v>0.72410112000000004</v>
      </c>
      <c r="Z104" s="65">
        <f t="shared" si="173"/>
        <v>0.58920174676691728</v>
      </c>
      <c r="AA104" s="65">
        <f t="shared" si="174"/>
        <v>0.58920174676691728</v>
      </c>
      <c r="AB104" s="65">
        <f t="shared" si="175"/>
        <v>0.12962438428872181</v>
      </c>
      <c r="AC104" s="65">
        <f t="shared" si="165"/>
        <v>0.5547699549396875</v>
      </c>
      <c r="AD104" s="65">
        <f t="shared" si="166"/>
        <v>0.44519488006739361</v>
      </c>
      <c r="AE104" s="65">
        <f t="shared" si="176"/>
        <v>0.87842531931216949</v>
      </c>
      <c r="AF104" s="65">
        <f>SUM(AH104,AJ104,AL104,AN104,AP104)</f>
        <v>0.12157467479137553</v>
      </c>
      <c r="AG104" s="154">
        <f t="shared" si="167"/>
        <v>0.32687142650426787</v>
      </c>
      <c r="AH104" s="154">
        <f t="shared" si="178"/>
        <v>0.11386534115946381</v>
      </c>
      <c r="AI104" s="154">
        <f t="shared" si="168"/>
        <v>9.6296607732254333E-2</v>
      </c>
      <c r="AJ104" s="154">
        <f t="shared" si="179"/>
        <v>7.3798623698103742E-3</v>
      </c>
      <c r="AK104" s="154">
        <f t="shared" si="169"/>
        <v>1.8912709827857626E-2</v>
      </c>
      <c r="AL104" s="154">
        <f t="shared" si="180"/>
        <v>3.1887003860739236E-4</v>
      </c>
      <c r="AM104" s="154">
        <f t="shared" si="170"/>
        <v>2.7858504166673893E-3</v>
      </c>
      <c r="AN104" s="154">
        <f t="shared" si="181"/>
        <v>1.0333333105651046E-5</v>
      </c>
      <c r="AO104" s="154">
        <f t="shared" si="171"/>
        <v>3.28285586346354E-4</v>
      </c>
      <c r="AP104" s="156">
        <f t="shared" si="182"/>
        <v>2.6789038829405652E-7</v>
      </c>
    </row>
    <row r="105" spans="2:42" ht="15" thickBot="1" x14ac:dyDescent="0.35">
      <c r="B105" s="62">
        <f t="shared" si="145"/>
        <v>4172</v>
      </c>
      <c r="C105" s="63">
        <v>1260</v>
      </c>
      <c r="D105" s="64">
        <f t="shared" si="109"/>
        <v>4.9895092799999992</v>
      </c>
      <c r="E105" s="65">
        <f t="shared" si="110"/>
        <v>5.9577082759473372</v>
      </c>
      <c r="F105" s="65">
        <f t="shared" si="146"/>
        <v>5.9577082759473372</v>
      </c>
      <c r="G105" s="65">
        <f t="shared" si="147"/>
        <v>1.3106958207084141</v>
      </c>
      <c r="H105" s="65">
        <f t="shared" si="111"/>
        <v>2.5858311983732751E-3</v>
      </c>
      <c r="V105" s="96"/>
      <c r="W105" s="79">
        <f t="shared" si="172"/>
        <v>974</v>
      </c>
      <c r="X105" s="97">
        <v>510</v>
      </c>
      <c r="Y105" s="98">
        <f t="shared" si="164"/>
        <v>0.81744227999999997</v>
      </c>
      <c r="Z105" s="99">
        <f t="shared" si="173"/>
        <v>0.66515353443609015</v>
      </c>
      <c r="AA105" s="65">
        <f t="shared" si="174"/>
        <v>0.66515353443609015</v>
      </c>
      <c r="AB105" s="65">
        <f t="shared" si="175"/>
        <v>0.14633377757593979</v>
      </c>
      <c r="AC105" s="99">
        <f t="shared" si="165"/>
        <v>0.51419457507168864</v>
      </c>
      <c r="AD105" s="99">
        <f t="shared" si="166"/>
        <v>0.48573717259346921</v>
      </c>
      <c r="AE105" s="65">
        <f t="shared" si="176"/>
        <v>0.86386931485270069</v>
      </c>
      <c r="AF105" s="99">
        <f>SUM(AH105,AJ105,AL105,AN105,AP105)</f>
        <v>0.13613067311541546</v>
      </c>
      <c r="AG105" s="157">
        <f t="shared" si="167"/>
        <v>0.34201833899679718</v>
      </c>
      <c r="AH105" s="157">
        <f t="shared" si="178"/>
        <v>0.1264132601743346</v>
      </c>
      <c r="AI105" s="157">
        <f t="shared" si="168"/>
        <v>0.11374735351284024</v>
      </c>
      <c r="AJ105" s="157">
        <f t="shared" si="179"/>
        <v>9.2492649485002437E-3</v>
      </c>
      <c r="AK105" s="157">
        <f t="shared" si="169"/>
        <v>2.5219818073939037E-2</v>
      </c>
      <c r="AL105" s="157">
        <f t="shared" si="180"/>
        <v>4.5115995990492364E-4</v>
      </c>
      <c r="AM105" s="157">
        <f t="shared" si="170"/>
        <v>4.1937627824289343E-3</v>
      </c>
      <c r="AN105" s="157">
        <f t="shared" si="181"/>
        <v>1.6504985305974251E-5</v>
      </c>
      <c r="AO105" s="157">
        <f t="shared" si="171"/>
        <v>5.5789922746382744E-4</v>
      </c>
      <c r="AP105" s="158">
        <f t="shared" si="182"/>
        <v>4.8304736973171805E-7</v>
      </c>
    </row>
    <row r="106" spans="2:42" ht="15" thickTop="1" x14ac:dyDescent="0.3">
      <c r="B106" s="62">
        <f t="shared" si="145"/>
        <v>4172</v>
      </c>
      <c r="C106" s="63">
        <v>1290</v>
      </c>
      <c r="D106" s="64">
        <f t="shared" si="109"/>
        <v>5.2299334799999997</v>
      </c>
      <c r="E106" s="65">
        <f t="shared" si="110"/>
        <v>6.2447860556840293</v>
      </c>
      <c r="F106" s="65">
        <f t="shared" si="146"/>
        <v>6.2447860556840293</v>
      </c>
      <c r="G106" s="65">
        <f t="shared" si="147"/>
        <v>1.373852932250486</v>
      </c>
      <c r="H106" s="65">
        <f t="shared" si="111"/>
        <v>1.9405457021682007E-3</v>
      </c>
      <c r="V106" s="76"/>
      <c r="W106" s="62"/>
      <c r="X106" s="63"/>
      <c r="Y106" s="64"/>
      <c r="Z106" s="65"/>
      <c r="AA106" s="65"/>
      <c r="AB106" s="65"/>
      <c r="AC106" s="65"/>
      <c r="AD106" s="65"/>
      <c r="AE106" s="65"/>
      <c r="AF106" s="65"/>
      <c r="AG106" s="65"/>
      <c r="AH106" s="65"/>
      <c r="AI106" s="65"/>
      <c r="AJ106" s="65"/>
      <c r="AK106" s="65"/>
      <c r="AL106" s="65"/>
      <c r="AM106" s="65"/>
      <c r="AN106" s="65"/>
      <c r="AO106" s="65"/>
      <c r="AP106" s="101"/>
    </row>
    <row r="107" spans="2:42" x14ac:dyDescent="0.3">
      <c r="B107" s="62">
        <f t="shared" si="145"/>
        <v>4172</v>
      </c>
      <c r="C107" s="63">
        <v>1320</v>
      </c>
      <c r="D107" s="64">
        <f t="shared" si="109"/>
        <v>5.4760147199999993</v>
      </c>
      <c r="E107" s="65">
        <f t="shared" si="110"/>
        <v>6.5386186067086429</v>
      </c>
      <c r="F107" s="65">
        <f t="shared" si="146"/>
        <v>6.5386186067086429</v>
      </c>
      <c r="G107" s="65">
        <f t="shared" si="147"/>
        <v>1.4384960934759015</v>
      </c>
      <c r="H107" s="65">
        <f t="shared" si="111"/>
        <v>1.4464852845981033E-3</v>
      </c>
      <c r="V107" s="38"/>
      <c r="W107" s="38"/>
      <c r="X107" s="38"/>
      <c r="Y107" s="38"/>
      <c r="Z107" s="38"/>
      <c r="AA107" s="38"/>
      <c r="AB107" s="38"/>
      <c r="AC107" s="38"/>
      <c r="AD107" s="38"/>
      <c r="AE107" s="38"/>
      <c r="AF107" s="38"/>
      <c r="AG107" s="38"/>
      <c r="AH107" s="38"/>
      <c r="AI107" s="38"/>
      <c r="AJ107" s="38"/>
      <c r="AK107" s="38"/>
      <c r="AL107" s="38"/>
      <c r="AM107" s="38"/>
      <c r="AN107" s="38"/>
      <c r="AO107" s="38"/>
      <c r="AP107" s="38"/>
    </row>
    <row r="108" spans="2:42" ht="35.25" customHeight="1" x14ac:dyDescent="0.3">
      <c r="B108" s="62">
        <f t="shared" si="145"/>
        <v>4172</v>
      </c>
      <c r="C108" s="63">
        <v>1350</v>
      </c>
      <c r="D108" s="64">
        <f t="shared" si="109"/>
        <v>5.7277529999999999</v>
      </c>
      <c r="E108" s="65">
        <f t="shared" si="110"/>
        <v>6.8392059290211789</v>
      </c>
      <c r="F108" s="65">
        <f t="shared" si="146"/>
        <v>6.8392059290211789</v>
      </c>
      <c r="G108" s="65">
        <f t="shared" si="147"/>
        <v>1.5046253043846596</v>
      </c>
      <c r="H108" s="65">
        <f t="shared" si="111"/>
        <v>1.070953475159078E-3</v>
      </c>
      <c r="V108" s="1383" t="s">
        <v>391</v>
      </c>
      <c r="W108" s="1383"/>
      <c r="X108" s="1383"/>
      <c r="Y108" s="1383"/>
      <c r="Z108" s="1383"/>
      <c r="AA108" s="1383"/>
      <c r="AB108" s="1383"/>
      <c r="AC108" s="1383"/>
      <c r="AD108" s="1383"/>
      <c r="AE108" s="1383"/>
      <c r="AF108" s="1383"/>
      <c r="AG108" s="1383"/>
      <c r="AH108" s="1383"/>
      <c r="AI108" s="1383"/>
      <c r="AJ108" s="1383"/>
      <c r="AK108" s="1383"/>
      <c r="AL108" s="1383"/>
      <c r="AM108" s="1383"/>
      <c r="AN108" s="1383"/>
      <c r="AO108" s="1383"/>
      <c r="AP108" s="1383"/>
    </row>
    <row r="109" spans="2:42" ht="93" customHeight="1" thickBot="1" x14ac:dyDescent="0.35">
      <c r="B109" s="62">
        <f t="shared" si="145"/>
        <v>4172</v>
      </c>
      <c r="C109" s="63">
        <v>1380</v>
      </c>
      <c r="D109" s="64">
        <f t="shared" si="109"/>
        <v>5.9851483199999995</v>
      </c>
      <c r="E109" s="65">
        <f t="shared" si="110"/>
        <v>7.1465480226216362</v>
      </c>
      <c r="F109" s="65">
        <f t="shared" si="146"/>
        <v>7.1465480226216362</v>
      </c>
      <c r="G109" s="65">
        <f t="shared" si="147"/>
        <v>1.5722405649767595</v>
      </c>
      <c r="H109" s="65">
        <f t="shared" si="111"/>
        <v>7.8757809602836249E-4</v>
      </c>
      <c r="V109" s="57"/>
      <c r="W109" s="58" t="s">
        <v>362</v>
      </c>
      <c r="X109" s="58" t="s">
        <v>363</v>
      </c>
      <c r="Y109" s="59" t="s">
        <v>364</v>
      </c>
      <c r="Z109" s="57" t="s">
        <v>365</v>
      </c>
      <c r="AA109" s="52" t="s">
        <v>366</v>
      </c>
      <c r="AB109" s="52" t="s">
        <v>367</v>
      </c>
      <c r="AC109" s="60" t="s">
        <v>368</v>
      </c>
      <c r="AD109" s="152" t="s">
        <v>382</v>
      </c>
      <c r="AE109" s="57" t="s">
        <v>419</v>
      </c>
      <c r="AF109" s="152" t="s">
        <v>383</v>
      </c>
      <c r="AG109" s="153" t="s">
        <v>371</v>
      </c>
      <c r="AH109" s="153" t="s">
        <v>372</v>
      </c>
      <c r="AI109" s="153" t="s">
        <v>373</v>
      </c>
      <c r="AJ109" s="153" t="s">
        <v>374</v>
      </c>
      <c r="AK109" s="153" t="s">
        <v>375</v>
      </c>
      <c r="AL109" s="153" t="s">
        <v>376</v>
      </c>
      <c r="AM109" s="153" t="s">
        <v>377</v>
      </c>
      <c r="AN109" s="153" t="s">
        <v>378</v>
      </c>
      <c r="AO109" s="153" t="s">
        <v>379</v>
      </c>
      <c r="AP109" s="153" t="s">
        <v>380</v>
      </c>
    </row>
    <row r="110" spans="2:42" ht="15" thickTop="1" x14ac:dyDescent="0.3">
      <c r="B110" s="62">
        <f t="shared" si="145"/>
        <v>4172</v>
      </c>
      <c r="C110" s="63">
        <v>1410</v>
      </c>
      <c r="D110" s="64">
        <f t="shared" si="109"/>
        <v>6.2482006800000001</v>
      </c>
      <c r="E110" s="65">
        <f t="shared" si="110"/>
        <v>7.4606448875100178</v>
      </c>
      <c r="F110" s="65">
        <f t="shared" si="146"/>
        <v>7.4606448875100178</v>
      </c>
      <c r="G110" s="65">
        <f t="shared" si="147"/>
        <v>1.6413418752522038</v>
      </c>
      <c r="H110" s="65">
        <f t="shared" si="111"/>
        <v>5.7528505768840769E-4</v>
      </c>
      <c r="V110" s="68"/>
      <c r="W110" s="62">
        <f>ROUNDUP(($H$4/$P$13),0)</f>
        <v>1251</v>
      </c>
      <c r="X110" s="63">
        <v>30</v>
      </c>
      <c r="Y110" s="62">
        <f t="shared" ref="Y110:Y126" si="183">((X110^2)*3.1428)/1000000</f>
        <v>2.8285200000000002E-3</v>
      </c>
      <c r="Z110" s="65">
        <f>(W110/(1197/$Y110))</f>
        <v>2.9561224060150378E-3</v>
      </c>
      <c r="AA110" s="65">
        <f>1*$Z110</f>
        <v>2.9561224060150378E-3</v>
      </c>
      <c r="AB110" s="65">
        <f>1*($Z110-($Z110*0.78))</f>
        <v>6.5034692932330841E-4</v>
      </c>
      <c r="AC110" s="65">
        <f t="shared" ref="AC110:AC126" si="184">EXP(-$AA110)</f>
        <v>0.99704824262157998</v>
      </c>
      <c r="AD110" s="65">
        <f t="shared" ref="AD110:AD126" si="185">SUM(AG110,AI110,AK110,AM110,AO110)</f>
        <v>2.9517573784200173E-3</v>
      </c>
      <c r="AE110" s="65">
        <f>EXP(-AB110)</f>
        <v>0.99934986450040419</v>
      </c>
      <c r="AF110" s="65">
        <f>SUM(AH110,AJ110,AL110,AN110,AP110)</f>
        <v>6.5013549959577679E-4</v>
      </c>
      <c r="AG110" s="154">
        <f t="shared" ref="AG110:AG126" si="186">EXP(-$AA110)*POWER($AA110,1)</f>
        <v>2.9473966498915704E-3</v>
      </c>
      <c r="AH110" s="154">
        <f>EXP(-$AB110)*POWER($AB110,1)</f>
        <v>6.4992411569750222E-4</v>
      </c>
      <c r="AI110" s="154">
        <f t="shared" ref="AI110:AI126" si="187">EXP(-$AA110)*POWER($AA110,2)/FACT(2)</f>
        <v>4.3564326380790658E-6</v>
      </c>
      <c r="AJ110" s="154">
        <f>EXP(-$AB110)*POWER($AB110,2)/FACT(2)</f>
        <v>2.1133807646851861E-7</v>
      </c>
      <c r="AK110" s="154">
        <f t="shared" ref="AK110:AK126" si="188">EXP(-$AA110)*POWER($AA110,3)/FACT(3)</f>
        <v>4.2927160439069086E-9</v>
      </c>
      <c r="AL110" s="154">
        <f>EXP(-$AB110)*POWER($AB110,3)/FACT(3)</f>
        <v>4.5814356360131874E-11</v>
      </c>
      <c r="AM110" s="154">
        <f t="shared" ref="AM110:AM126" si="189">EXP(-$AA110)*POWER($AA110,4)/FACT(4)</f>
        <v>3.1724485200133609E-12</v>
      </c>
      <c r="AN110" s="154">
        <f>EXP(-$AB110)*POWER($AB110,4)/FACT(4)</f>
        <v>7.4488064944338869E-15</v>
      </c>
      <c r="AO110" s="154">
        <f t="shared" ref="AO110:AO126" si="190">EXP(-$AA110)*POWER($AA110,5)/FACT(5)</f>
        <v>1.8756292303881486E-15</v>
      </c>
      <c r="AP110" s="154">
        <f>EXP(-$AB110)*POWER($AB110,5)/FACT(5)</f>
        <v>9.6886168615571922E-19</v>
      </c>
    </row>
    <row r="111" spans="2:42" x14ac:dyDescent="0.3">
      <c r="B111" s="62">
        <f t="shared" si="145"/>
        <v>4172</v>
      </c>
      <c r="C111" s="63">
        <v>1440</v>
      </c>
      <c r="D111" s="64">
        <f t="shared" si="109"/>
        <v>6.5169100799999997</v>
      </c>
      <c r="E111" s="65">
        <f t="shared" si="110"/>
        <v>7.7814965236863189</v>
      </c>
      <c r="F111" s="65">
        <f t="shared" si="146"/>
        <v>7.7814965236863189</v>
      </c>
      <c r="G111" s="65">
        <f t="shared" si="147"/>
        <v>1.7119292352109898</v>
      </c>
      <c r="H111" s="65">
        <f t="shared" si="111"/>
        <v>4.173870773436345E-4</v>
      </c>
      <c r="V111" s="68"/>
      <c r="W111" s="62">
        <f t="shared" ref="W111:W126" si="191">ROUNDUP(($H$4/$P$13),0)</f>
        <v>1251</v>
      </c>
      <c r="X111" s="63">
        <v>60</v>
      </c>
      <c r="Y111" s="62">
        <f t="shared" si="183"/>
        <v>1.1314080000000001E-2</v>
      </c>
      <c r="Z111" s="65">
        <f t="shared" ref="Z111:Z126" si="192">(W111/(1197/$Y111))</f>
        <v>1.1824489624060151E-2</v>
      </c>
      <c r="AA111" s="65">
        <f t="shared" ref="AA111:AA126" si="193">1*$Z111</f>
        <v>1.1824489624060151E-2</v>
      </c>
      <c r="AB111" s="65">
        <f t="shared" ref="AB111:AB126" si="194">1*($Z111-($Z111*0.78))</f>
        <v>2.6013877172932336E-3</v>
      </c>
      <c r="AC111" s="65">
        <f t="shared" si="184"/>
        <v>0.98824514491882798</v>
      </c>
      <c r="AD111" s="65">
        <f t="shared" si="185"/>
        <v>1.1754855081168221E-2</v>
      </c>
      <c r="AE111" s="65">
        <f t="shared" ref="AE111:AE126" si="195">EXP(-AB111)</f>
        <v>0.9974019929596154</v>
      </c>
      <c r="AF111" s="65">
        <f t="shared" ref="AF111:AF125" si="196">SUM(AH111,AJ111,AL111,AN111,AP111)</f>
        <v>2.5980070403845701E-3</v>
      </c>
      <c r="AG111" s="154">
        <f t="shared" si="186"/>
        <v>1.1685494462120503E-2</v>
      </c>
      <c r="AH111" s="154">
        <f t="shared" ref="AH111:AH126" si="197">EXP(-$AB111)*POWER($AB111,1)</f>
        <v>2.5946292936889358E-3</v>
      </c>
      <c r="AI111" s="154">
        <f t="shared" si="187"/>
        <v>6.908750400967812E-5</v>
      </c>
      <c r="AJ111" s="154">
        <f t="shared" ref="AJ111:AJ126" si="198">EXP(-$AB111)*POWER($AB111,2)/FACT(2)</f>
        <v>3.3748183877658082E-6</v>
      </c>
      <c r="AK111" s="154">
        <f t="shared" si="188"/>
        <v>2.7230815810488435E-7</v>
      </c>
      <c r="AL111" s="154">
        <f t="shared" ref="AL111:AL126" si="199">EXP(-$AB111)*POWER($AB111,3)/FACT(3)</f>
        <v>2.9264037006764423E-9</v>
      </c>
      <c r="AM111" s="154">
        <f t="shared" si="189"/>
        <v>8.0497624751453401E-10</v>
      </c>
      <c r="AN111" s="154">
        <f t="shared" ref="AN111:AN126" si="200">EXP(-$AB111)*POWER($AB111,4)/FACT(4)</f>
        <v>1.9031776606952905E-12</v>
      </c>
      <c r="AO111" s="154">
        <f t="shared" si="190"/>
        <v>1.9036866572700969E-12</v>
      </c>
      <c r="AP111" s="154">
        <f t="shared" ref="AP111:AP126" si="201">EXP(-$AB111)*POWER($AB111,5)/FACT(5)</f>
        <v>9.9018059807191956E-16</v>
      </c>
    </row>
    <row r="112" spans="2:42" x14ac:dyDescent="0.3">
      <c r="B112" s="62">
        <f t="shared" si="145"/>
        <v>4172</v>
      </c>
      <c r="C112" s="63">
        <v>1470</v>
      </c>
      <c r="D112" s="64">
        <f t="shared" si="109"/>
        <v>6.7912765199999994</v>
      </c>
      <c r="E112" s="65">
        <f t="shared" si="110"/>
        <v>8.1091029311505434</v>
      </c>
      <c r="F112" s="65">
        <f t="shared" si="146"/>
        <v>8.1091029311505434</v>
      </c>
      <c r="G112" s="65">
        <f t="shared" si="147"/>
        <v>1.7840026448531194</v>
      </c>
      <c r="H112" s="65">
        <f t="shared" si="111"/>
        <v>3.007885802659822E-4</v>
      </c>
      <c r="V112" s="68"/>
      <c r="W112" s="62">
        <f t="shared" si="191"/>
        <v>1251</v>
      </c>
      <c r="X112" s="63">
        <v>90</v>
      </c>
      <c r="Y112" s="62">
        <f t="shared" si="183"/>
        <v>2.5456679999999999E-2</v>
      </c>
      <c r="Z112" s="65">
        <f t="shared" si="192"/>
        <v>2.6605101654135335E-2</v>
      </c>
      <c r="AA112" s="65">
        <f t="shared" si="193"/>
        <v>2.6605101654135335E-2</v>
      </c>
      <c r="AB112" s="65">
        <f t="shared" si="194"/>
        <v>5.8531223639097726E-3</v>
      </c>
      <c r="AC112" s="65">
        <f t="shared" si="184"/>
        <v>0.97374569617379991</v>
      </c>
      <c r="AD112" s="65">
        <f t="shared" si="185"/>
        <v>2.6254303825718587E-2</v>
      </c>
      <c r="AE112" s="65">
        <f t="shared" si="195"/>
        <v>0.99416397378524635</v>
      </c>
      <c r="AF112" s="65">
        <f t="shared" si="196"/>
        <v>5.8360262147536162E-3</v>
      </c>
      <c r="AG112" s="154">
        <f t="shared" si="186"/>
        <v>2.5906603231980727E-2</v>
      </c>
      <c r="AH112" s="154">
        <f t="shared" si="197"/>
        <v>5.8189633883558344E-3</v>
      </c>
      <c r="AI112" s="154">
        <f t="shared" si="187"/>
        <v>3.4462390625009917E-4</v>
      </c>
      <c r="AJ112" s="154">
        <f t="shared" si="198"/>
        <v>1.7029552371578862E-5</v>
      </c>
      <c r="AK112" s="154">
        <f t="shared" si="188"/>
        <v>3.0562513527430313E-6</v>
      </c>
      <c r="AL112" s="154">
        <f t="shared" si="199"/>
        <v>3.3225351277820312E-8</v>
      </c>
      <c r="AM112" s="154">
        <f t="shared" si="189"/>
        <v>2.0327969480079245E-8</v>
      </c>
      <c r="AN112" s="154">
        <f t="shared" si="200"/>
        <v>4.861801165324206E-11</v>
      </c>
      <c r="AO112" s="154">
        <f t="shared" si="190"/>
        <v>1.0816553888793378E-10</v>
      </c>
      <c r="AP112" s="154">
        <f t="shared" si="201"/>
        <v>5.6913434259283403E-14</v>
      </c>
    </row>
    <row r="113" spans="2:42" x14ac:dyDescent="0.3">
      <c r="B113" s="62">
        <f t="shared" si="145"/>
        <v>4172</v>
      </c>
      <c r="C113" s="63">
        <v>1500</v>
      </c>
      <c r="D113" s="64">
        <f t="shared" si="109"/>
        <v>7.0712999999999999</v>
      </c>
      <c r="E113" s="65">
        <f t="shared" si="110"/>
        <v>8.4434641099026901</v>
      </c>
      <c r="F113" s="65">
        <f t="shared" si="146"/>
        <v>8.4434641099026901</v>
      </c>
      <c r="G113" s="65">
        <f t="shared" si="147"/>
        <v>1.8575621041785917</v>
      </c>
      <c r="H113" s="65">
        <f t="shared" si="111"/>
        <v>2.153030236279611E-4</v>
      </c>
      <c r="V113" s="38"/>
      <c r="W113" s="62">
        <f t="shared" si="191"/>
        <v>1251</v>
      </c>
      <c r="X113" s="63">
        <v>120</v>
      </c>
      <c r="Y113" s="62">
        <f t="shared" si="183"/>
        <v>4.5256320000000003E-2</v>
      </c>
      <c r="Z113" s="65">
        <f t="shared" si="192"/>
        <v>4.7297958496240605E-2</v>
      </c>
      <c r="AA113" s="65">
        <f t="shared" si="193"/>
        <v>4.7297958496240605E-2</v>
      </c>
      <c r="AB113" s="65">
        <f t="shared" si="194"/>
        <v>1.0405550869172935E-2</v>
      </c>
      <c r="AC113" s="65">
        <f t="shared" si="184"/>
        <v>0.95380316149148614</v>
      </c>
      <c r="AD113" s="65">
        <f t="shared" si="185"/>
        <v>4.6196838493581686E-2</v>
      </c>
      <c r="AE113" s="65">
        <f t="shared" si="195"/>
        <v>0.98964839958505568</v>
      </c>
      <c r="AF113" s="65">
        <f t="shared" si="196"/>
        <v>1.0351600414942569E-2</v>
      </c>
      <c r="AG113" s="154">
        <f t="shared" si="186"/>
        <v>4.5112942345807386E-2</v>
      </c>
      <c r="AH113" s="154">
        <f t="shared" si="197"/>
        <v>1.029783676447788E-2</v>
      </c>
      <c r="AI113" s="154">
        <f t="shared" si="187"/>
        <v>1.0668750373576466E-3</v>
      </c>
      <c r="AJ113" s="154">
        <f t="shared" si="198"/>
        <v>5.3577332147606903E-5</v>
      </c>
      <c r="AK113" s="154">
        <f t="shared" si="188"/>
        <v>1.6820337079205705E-5</v>
      </c>
      <c r="AL113" s="154">
        <f t="shared" si="199"/>
        <v>1.8583388503216602E-7</v>
      </c>
      <c r="AM113" s="154">
        <f t="shared" si="189"/>
        <v>1.988919012662621E-7</v>
      </c>
      <c r="AN113" s="154">
        <f t="shared" si="200"/>
        <v>4.8342598597955964E-10</v>
      </c>
      <c r="AO113" s="154">
        <f t="shared" si="190"/>
        <v>1.8814361782660094E-9</v>
      </c>
      <c r="AP113" s="154">
        <f t="shared" si="201"/>
        <v>1.0060627377180778E-12</v>
      </c>
    </row>
    <row r="114" spans="2:42" x14ac:dyDescent="0.3">
      <c r="B114" s="62">
        <f t="shared" si="145"/>
        <v>4172</v>
      </c>
      <c r="C114" s="63">
        <v>1530</v>
      </c>
      <c r="D114" s="64">
        <f t="shared" si="109"/>
        <v>7.3569805199999996</v>
      </c>
      <c r="E114" s="65">
        <f t="shared" si="110"/>
        <v>8.7845800599427584</v>
      </c>
      <c r="F114" s="65">
        <f t="shared" si="146"/>
        <v>8.7845800599427584</v>
      </c>
      <c r="G114" s="65">
        <f t="shared" si="147"/>
        <v>1.9326076131874066</v>
      </c>
      <c r="H114" s="65">
        <f t="shared" si="111"/>
        <v>1.5307538278862504E-4</v>
      </c>
      <c r="V114" s="76"/>
      <c r="W114" s="62">
        <f t="shared" si="191"/>
        <v>1251</v>
      </c>
      <c r="X114" s="63">
        <v>150</v>
      </c>
      <c r="Y114" s="62">
        <f t="shared" si="183"/>
        <v>7.0712999999999998E-2</v>
      </c>
      <c r="Z114" s="65">
        <f t="shared" si="192"/>
        <v>7.390306015037594E-2</v>
      </c>
      <c r="AA114" s="65">
        <f t="shared" si="193"/>
        <v>7.390306015037594E-2</v>
      </c>
      <c r="AB114" s="65">
        <f t="shared" si="194"/>
        <v>1.6258673233082707E-2</v>
      </c>
      <c r="AC114" s="65">
        <f t="shared" si="184"/>
        <v>0.92876172349929853</v>
      </c>
      <c r="AD114" s="65">
        <f t="shared" si="185"/>
        <v>7.1238276288303828E-2</v>
      </c>
      <c r="AE114" s="65">
        <f t="shared" si="195"/>
        <v>0.98387278558168834</v>
      </c>
      <c r="AF114" s="65">
        <f t="shared" si="196"/>
        <v>1.6127214418286417E-2</v>
      </c>
      <c r="AG114" s="154">
        <f t="shared" si="186"/>
        <v>6.8638333517135483E-2</v>
      </c>
      <c r="AH114" s="154">
        <f t="shared" si="197"/>
        <v>1.5996466123695516E-2</v>
      </c>
      <c r="AI114" s="154">
        <f t="shared" si="187"/>
        <v>2.5362914452692147E-3</v>
      </c>
      <c r="AJ114" s="154">
        <f t="shared" si="198"/>
        <v>1.3004065779462131E-4</v>
      </c>
      <c r="AK114" s="154">
        <f t="shared" si="188"/>
        <v>6.2479899746204905E-5</v>
      </c>
      <c r="AL114" s="154">
        <f t="shared" si="199"/>
        <v>7.0476285403262585E-7</v>
      </c>
      <c r="AM114" s="154">
        <f t="shared" si="189"/>
        <v>1.1543639472833097E-6</v>
      </c>
      <c r="AN114" s="154">
        <f t="shared" si="200"/>
        <v>2.864627237632808E-9</v>
      </c>
      <c r="AO114" s="154">
        <f t="shared" si="190"/>
        <v>1.7062205646300767E-8</v>
      </c>
      <c r="AP114" s="154">
        <f t="shared" si="201"/>
        <v>9.3150076382520386E-12</v>
      </c>
    </row>
    <row r="115" spans="2:42" x14ac:dyDescent="0.3">
      <c r="B115" s="62">
        <f t="shared" si="145"/>
        <v>4172</v>
      </c>
      <c r="C115" s="63">
        <v>1560</v>
      </c>
      <c r="D115" s="64">
        <f t="shared" si="109"/>
        <v>7.6483180799999992</v>
      </c>
      <c r="E115" s="65">
        <f t="shared" si="110"/>
        <v>9.1324507812707481</v>
      </c>
      <c r="F115" s="65">
        <f t="shared" si="146"/>
        <v>9.1324507812707481</v>
      </c>
      <c r="G115" s="65">
        <f t="shared" si="147"/>
        <v>2.0091391718795641</v>
      </c>
      <c r="H115" s="65">
        <f t="shared" si="111"/>
        <v>1.0810032992693157E-4</v>
      </c>
      <c r="V115" s="76"/>
      <c r="W115" s="62">
        <f t="shared" si="191"/>
        <v>1251</v>
      </c>
      <c r="X115" s="63">
        <v>180</v>
      </c>
      <c r="Y115" s="62">
        <f t="shared" si="183"/>
        <v>0.10182672</v>
      </c>
      <c r="Z115" s="65">
        <f t="shared" si="192"/>
        <v>0.10642040661654134</v>
      </c>
      <c r="AA115" s="65">
        <f t="shared" si="193"/>
        <v>0.10642040661654134</v>
      </c>
      <c r="AB115" s="65">
        <f t="shared" si="194"/>
        <v>2.3412489455639091E-2</v>
      </c>
      <c r="AC115" s="65">
        <f t="shared" si="184"/>
        <v>0.89904660347458643</v>
      </c>
      <c r="AD115" s="65">
        <f t="shared" si="185"/>
        <v>0.10095339468362574</v>
      </c>
      <c r="AE115" s="65">
        <f t="shared" si="195"/>
        <v>0.97685945643130789</v>
      </c>
      <c r="AF115" s="65">
        <f t="shared" si="196"/>
        <v>2.3140543568467911E-2</v>
      </c>
      <c r="AG115" s="154">
        <f t="shared" si="186"/>
        <v>9.5676905108985896E-2</v>
      </c>
      <c r="AH115" s="154">
        <f t="shared" si="197"/>
        <v>2.2870711723339331E-2</v>
      </c>
      <c r="AI115" s="154">
        <f t="shared" si="187"/>
        <v>5.0909875727552607E-3</v>
      </c>
      <c r="AJ115" s="154">
        <f t="shared" si="198"/>
        <v>2.6773014853282172E-4</v>
      </c>
      <c r="AK115" s="154">
        <f t="shared" si="188"/>
        <v>1.8059498919079122E-4</v>
      </c>
      <c r="AL115" s="154">
        <f t="shared" si="199"/>
        <v>2.0894097598271253E-6</v>
      </c>
      <c r="AM115" s="154">
        <f t="shared" si="189"/>
        <v>4.8047480456484728E-6</v>
      </c>
      <c r="AN115" s="154">
        <f t="shared" si="200"/>
        <v>1.2229570992615496E-8</v>
      </c>
      <c r="AO115" s="154">
        <f t="shared" si="190"/>
        <v>1.0226464814158855E-7</v>
      </c>
      <c r="AP115" s="154">
        <f t="shared" si="201"/>
        <v>5.726494038231999E-11</v>
      </c>
    </row>
    <row r="116" spans="2:42" x14ac:dyDescent="0.3">
      <c r="B116" s="62">
        <f t="shared" si="145"/>
        <v>4172</v>
      </c>
      <c r="C116" s="63">
        <v>1590</v>
      </c>
      <c r="D116" s="64">
        <f t="shared" si="109"/>
        <v>7.9453126799999998</v>
      </c>
      <c r="E116" s="65">
        <f>B116/(3494/$D116)</f>
        <v>9.4870762738866627</v>
      </c>
      <c r="F116" s="65">
        <f t="shared" si="146"/>
        <v>9.4870762738866627</v>
      </c>
      <c r="G116" s="65">
        <f t="shared" si="147"/>
        <v>2.0871567802550652</v>
      </c>
      <c r="H116" s="65">
        <f t="shared" si="111"/>
        <v>7.5825472429359169E-5</v>
      </c>
      <c r="V116" s="76"/>
      <c r="W116" s="62">
        <f t="shared" si="191"/>
        <v>1251</v>
      </c>
      <c r="X116" s="63">
        <v>210</v>
      </c>
      <c r="Y116" s="62">
        <f t="shared" si="183"/>
        <v>0.13859748</v>
      </c>
      <c r="Z116" s="65">
        <f t="shared" si="192"/>
        <v>0.14484999789473682</v>
      </c>
      <c r="AA116" s="65">
        <f t="shared" si="193"/>
        <v>0.14484999789473682</v>
      </c>
      <c r="AB116" s="65">
        <f t="shared" si="194"/>
        <v>3.1866999536842092E-2</v>
      </c>
      <c r="AC116" s="65">
        <f t="shared" si="184"/>
        <v>0.86515205800806805</v>
      </c>
      <c r="AD116" s="65">
        <f t="shared" si="185"/>
        <v>0.13484793065937328</v>
      </c>
      <c r="AE116" s="65">
        <f t="shared" si="195"/>
        <v>0.96863540246958146</v>
      </c>
      <c r="AF116" s="65">
        <f t="shared" si="196"/>
        <v>3.1364597529003176E-2</v>
      </c>
      <c r="AG116" s="154">
        <f t="shared" si="186"/>
        <v>0.12531727378109589</v>
      </c>
      <c r="AH116" s="154">
        <f>EXP(-$AB116)*POWER($AB116,1)</f>
        <v>3.0867503921867004E-2</v>
      </c>
      <c r="AI116" s="154">
        <f t="shared" si="187"/>
        <v>9.0761034216829475E-3</v>
      </c>
      <c r="AJ116" s="154">
        <f t="shared" si="198"/>
        <v>4.9182736659080374E-4</v>
      </c>
      <c r="AK116" s="154">
        <f t="shared" si="188"/>
        <v>4.3822452050772961E-4</v>
      </c>
      <c r="AL116" s="154">
        <f t="shared" si="199"/>
        <v>5.224354154451803E-6</v>
      </c>
      <c r="AM116" s="154">
        <f t="shared" si="189"/>
        <v>1.5869205218241668E-5</v>
      </c>
      <c r="AN116" s="154">
        <f t="shared" si="200"/>
        <v>4.1621122855053673E-8</v>
      </c>
      <c r="AO116" s="154">
        <f t="shared" si="190"/>
        <v>4.597308684906904E-7</v>
      </c>
      <c r="AP116" s="154">
        <f t="shared" si="201"/>
        <v>2.652680605489686E-10</v>
      </c>
    </row>
    <row r="117" spans="2:42" x14ac:dyDescent="0.3">
      <c r="B117" s="62">
        <f t="shared" si="145"/>
        <v>4172</v>
      </c>
      <c r="C117" s="63">
        <v>1620</v>
      </c>
      <c r="D117" s="64">
        <f t="shared" si="109"/>
        <v>8.2479643199999995</v>
      </c>
      <c r="E117" s="65">
        <f>B117/(3494/$D117)</f>
        <v>9.8484565377904971</v>
      </c>
      <c r="F117" s="65">
        <f t="shared" si="146"/>
        <v>9.8484565377904971</v>
      </c>
      <c r="G117" s="65">
        <f t="shared" si="147"/>
        <v>2.166660438313909</v>
      </c>
      <c r="H117" s="65">
        <f t="shared" si="111"/>
        <v>5.2828669176103164E-5</v>
      </c>
      <c r="V117" s="76"/>
      <c r="W117" s="62">
        <f t="shared" si="191"/>
        <v>1251</v>
      </c>
      <c r="X117" s="63">
        <v>240</v>
      </c>
      <c r="Y117" s="62">
        <f t="shared" si="183"/>
        <v>0.18102528000000001</v>
      </c>
      <c r="Z117" s="65">
        <f t="shared" si="192"/>
        <v>0.18919183398496242</v>
      </c>
      <c r="AA117" s="65">
        <f t="shared" si="193"/>
        <v>0.18919183398496242</v>
      </c>
      <c r="AB117" s="65">
        <f t="shared" si="194"/>
        <v>4.1622203476691738E-2</v>
      </c>
      <c r="AC117" s="65">
        <f t="shared" si="184"/>
        <v>0.82762772434086906</v>
      </c>
      <c r="AD117" s="65">
        <f t="shared" si="185"/>
        <v>0.17237222148713016</v>
      </c>
      <c r="AE117" s="65">
        <f t="shared" si="195"/>
        <v>0.95923210668035253</v>
      </c>
      <c r="AF117" s="65">
        <f t="shared" si="196"/>
        <v>4.0767893312679097E-2</v>
      </c>
      <c r="AG117" s="154">
        <f t="shared" si="186"/>
        <v>0.15658040702484993</v>
      </c>
      <c r="AH117" s="154">
        <f t="shared" si="197"/>
        <v>3.9925353925625309E-2</v>
      </c>
      <c r="AI117" s="154">
        <f t="shared" si="187"/>
        <v>1.4811867185571627E-2</v>
      </c>
      <c r="AJ117" s="154">
        <f t="shared" si="198"/>
        <v>8.3089060248565493E-4</v>
      </c>
      <c r="AK117" s="154">
        <f t="shared" si="188"/>
        <v>9.3409477252666005E-4</v>
      </c>
      <c r="AL117" s="154">
        <f t="shared" si="199"/>
        <v>1.1527832574509642E-5</v>
      </c>
      <c r="AM117" s="154">
        <f t="shared" si="189"/>
        <v>4.4180775782521279E-5</v>
      </c>
      <c r="AN117" s="154">
        <f t="shared" si="200"/>
        <v>1.1995344826536886E-7</v>
      </c>
      <c r="AO117" s="154">
        <f t="shared" si="190"/>
        <v>1.6717283994347225E-6</v>
      </c>
      <c r="AP117" s="154">
        <f t="shared" si="201"/>
        <v>9.9854536628639982E-10</v>
      </c>
    </row>
    <row r="118" spans="2:42" x14ac:dyDescent="0.3">
      <c r="B118" s="62">
        <f t="shared" si="145"/>
        <v>4172</v>
      </c>
      <c r="C118" s="63">
        <v>1650</v>
      </c>
      <c r="D118" s="64">
        <f t="shared" si="109"/>
        <v>8.5562729999999991</v>
      </c>
      <c r="E118" s="65">
        <f>B118/(3494/$D118)</f>
        <v>10.216591572982255</v>
      </c>
      <c r="F118" s="65">
        <f t="shared" si="146"/>
        <v>10.216591572982255</v>
      </c>
      <c r="G118" s="65">
        <f t="shared" si="147"/>
        <v>2.2476501460560954</v>
      </c>
      <c r="H118" s="65">
        <f t="shared" si="111"/>
        <v>3.6558692579138196E-5</v>
      </c>
      <c r="V118" s="76"/>
      <c r="W118" s="62">
        <f t="shared" si="191"/>
        <v>1251</v>
      </c>
      <c r="X118" s="63">
        <v>270</v>
      </c>
      <c r="Y118" s="62">
        <f t="shared" si="183"/>
        <v>0.22911012</v>
      </c>
      <c r="Z118" s="65">
        <f t="shared" si="192"/>
        <v>0.23944591488721803</v>
      </c>
      <c r="AA118" s="65">
        <f t="shared" si="193"/>
        <v>0.23944591488721803</v>
      </c>
      <c r="AB118" s="65">
        <f t="shared" si="194"/>
        <v>5.2678101275187961E-2</v>
      </c>
      <c r="AC118" s="65">
        <f t="shared" si="184"/>
        <v>0.78706384062740775</v>
      </c>
      <c r="AD118" s="65">
        <f t="shared" si="185"/>
        <v>0.21293594608245456</v>
      </c>
      <c r="AE118" s="65">
        <f t="shared" si="195"/>
        <v>0.94868534393922022</v>
      </c>
      <c r="AF118" s="65">
        <f t="shared" si="196"/>
        <v>5.1314656032410477E-2</v>
      </c>
      <c r="AG118" s="154">
        <f t="shared" si="186"/>
        <v>0.18845922139367721</v>
      </c>
      <c r="AH118" s="154">
        <f t="shared" si="197"/>
        <v>4.9974942626316764E-2</v>
      </c>
      <c r="AI118" s="154">
        <f t="shared" si="187"/>
        <v>2.2562895342770908E-2</v>
      </c>
      <c r="AJ118" s="154">
        <f t="shared" si="198"/>
        <v>1.3162925444454112E-3</v>
      </c>
      <c r="AK118" s="154">
        <f t="shared" si="188"/>
        <v>1.8008643726181103E-3</v>
      </c>
      <c r="AL118" s="154">
        <f t="shared" si="199"/>
        <v>2.3113263988023407E-5</v>
      </c>
      <c r="AM118" s="154">
        <f t="shared" si="189"/>
        <v>1.0780240432233484E-4</v>
      </c>
      <c r="AN118" s="154">
        <f t="shared" si="200"/>
        <v>3.0439071529031296E-7</v>
      </c>
      <c r="AO118" s="154">
        <f t="shared" si="190"/>
        <v>5.1625690660006511E-6</v>
      </c>
      <c r="AP118" s="154">
        <f t="shared" si="201"/>
        <v>3.2069449854580023E-9</v>
      </c>
    </row>
    <row r="119" spans="2:42" x14ac:dyDescent="0.3">
      <c r="V119" s="76"/>
      <c r="W119" s="62">
        <f t="shared" si="191"/>
        <v>1251</v>
      </c>
      <c r="X119" s="63">
        <v>300</v>
      </c>
      <c r="Y119" s="62">
        <f t="shared" si="183"/>
        <v>0.28285199999999999</v>
      </c>
      <c r="Z119" s="65">
        <f t="shared" si="192"/>
        <v>0.29561224060150376</v>
      </c>
      <c r="AA119" s="65">
        <f t="shared" si="193"/>
        <v>0.29561224060150376</v>
      </c>
      <c r="AB119" s="65">
        <f t="shared" si="194"/>
        <v>6.5034692932330829E-2</v>
      </c>
      <c r="AC119" s="65">
        <f t="shared" si="184"/>
        <v>0.74407589451005962</v>
      </c>
      <c r="AD119" s="65">
        <f t="shared" si="185"/>
        <v>0.25592338561898137</v>
      </c>
      <c r="AE119" s="65">
        <f t="shared" si="195"/>
        <v>0.93703495432322748</v>
      </c>
      <c r="AF119" s="65">
        <f t="shared" si="196"/>
        <v>6.2965045577382417E-2</v>
      </c>
      <c r="AG119" s="154">
        <f t="shared" si="186"/>
        <v>0.21995794235368687</v>
      </c>
      <c r="AH119" s="154">
        <f t="shared" si="197"/>
        <v>6.093978052127174E-2</v>
      </c>
      <c r="AI119" s="154">
        <f t="shared" si="187"/>
        <v>3.251113008863489E-2</v>
      </c>
      <c r="AJ119" s="154">
        <f t="shared" si="198"/>
        <v>1.981599956782272E-3</v>
      </c>
      <c r="AK119" s="154">
        <f t="shared" si="188"/>
        <v>3.2035626699961086E-3</v>
      </c>
      <c r="AL119" s="154">
        <f t="shared" si="199"/>
        <v>4.2957581568018361E-5</v>
      </c>
      <c r="AM119" s="154">
        <f t="shared" si="189"/>
        <v>2.3675308469622134E-4</v>
      </c>
      <c r="AN119" s="154">
        <f t="shared" si="200"/>
        <v>6.984332815979073E-7</v>
      </c>
      <c r="AO119" s="154">
        <f t="shared" si="190"/>
        <v>1.3997421967273516E-5</v>
      </c>
      <c r="AP119" s="154">
        <f t="shared" si="201"/>
        <v>9.084478800488011E-9</v>
      </c>
    </row>
    <row r="120" spans="2:42" x14ac:dyDescent="0.3">
      <c r="V120" s="76"/>
      <c r="W120" s="62">
        <f t="shared" si="191"/>
        <v>1251</v>
      </c>
      <c r="X120" s="63">
        <v>330</v>
      </c>
      <c r="Y120" s="62">
        <f t="shared" si="183"/>
        <v>0.34225091999999996</v>
      </c>
      <c r="Z120" s="65">
        <f t="shared" si="192"/>
        <v>0.35769081112781947</v>
      </c>
      <c r="AA120" s="65">
        <f t="shared" si="193"/>
        <v>0.35769081112781947</v>
      </c>
      <c r="AB120" s="65">
        <f t="shared" si="194"/>
        <v>7.8691978448120259E-2</v>
      </c>
      <c r="AC120" s="65">
        <f t="shared" si="184"/>
        <v>0.69928925404051234</v>
      </c>
      <c r="AD120" s="65">
        <f t="shared" si="185"/>
        <v>0.30070860308695135</v>
      </c>
      <c r="AE120" s="65">
        <f t="shared" si="195"/>
        <v>0.92432459249630994</v>
      </c>
      <c r="AF120" s="65">
        <f t="shared" si="196"/>
        <v>7.5675407195387082E-2</v>
      </c>
      <c r="AG120" s="154">
        <f t="shared" si="186"/>
        <v>0.25012934049071867</v>
      </c>
      <c r="AH120" s="154">
        <f t="shared" si="197"/>
        <v>7.2736930911787165E-2</v>
      </c>
      <c r="AI120" s="154">
        <f t="shared" si="187"/>
        <v>4.4734483343495855E-2</v>
      </c>
      <c r="AJ120" s="154">
        <f t="shared" si="198"/>
        <v>2.8619064998463839E-3</v>
      </c>
      <c r="AK120" s="154">
        <f t="shared" si="188"/>
        <v>5.3337045441729869E-3</v>
      </c>
      <c r="AL120" s="154">
        <f t="shared" si="199"/>
        <v>7.506969486881564E-5</v>
      </c>
      <c r="AM120" s="154">
        <f t="shared" si="189"/>
        <v>4.7695427618034311E-4</v>
      </c>
      <c r="AN120" s="154">
        <f t="shared" si="200"/>
        <v>1.4768457026809511E-6</v>
      </c>
      <c r="AO120" s="154">
        <f t="shared" si="190"/>
        <v>3.4120432383565792E-5</v>
      </c>
      <c r="AP120" s="154">
        <f t="shared" si="201"/>
        <v>2.3243182041313691E-8</v>
      </c>
    </row>
    <row r="121" spans="2:42" x14ac:dyDescent="0.3">
      <c r="V121" s="76"/>
      <c r="W121" s="62">
        <f t="shared" si="191"/>
        <v>1251</v>
      </c>
      <c r="X121" s="63">
        <v>360</v>
      </c>
      <c r="Y121" s="62">
        <f t="shared" si="183"/>
        <v>0.40730687999999998</v>
      </c>
      <c r="Z121" s="65">
        <f t="shared" si="192"/>
        <v>0.42568162646616536</v>
      </c>
      <c r="AA121" s="65">
        <f t="shared" si="193"/>
        <v>0.42568162646616536</v>
      </c>
      <c r="AB121" s="65">
        <f t="shared" si="194"/>
        <v>9.3649957822556362E-2</v>
      </c>
      <c r="AC121" s="65">
        <f t="shared" si="184"/>
        <v>0.65332431018252846</v>
      </c>
      <c r="AD121" s="65">
        <f t="shared" si="185"/>
        <v>0.34666994426253717</v>
      </c>
      <c r="AE121" s="65">
        <f t="shared" si="195"/>
        <v>0.91060145537571646</v>
      </c>
      <c r="AF121" s="65">
        <f t="shared" si="196"/>
        <v>8.9398543759552834E-2</v>
      </c>
      <c r="AG121" s="154">
        <f t="shared" si="186"/>
        <v>0.27810815496838426</v>
      </c>
      <c r="AH121" s="154">
        <f t="shared" si="197"/>
        <v>8.5277787889094292E-2</v>
      </c>
      <c r="AI121" s="154">
        <f t="shared" si="187"/>
        <v>5.9192765870223089E-2</v>
      </c>
      <c r="AJ121" s="154">
        <f t="shared" si="198"/>
        <v>3.9931306195072937E-3</v>
      </c>
      <c r="AK121" s="154">
        <f t="shared" si="188"/>
        <v>8.3990909502224959E-3</v>
      </c>
      <c r="AL121" s="154">
        <f t="shared" si="199"/>
        <v>1.2465217136560549E-4</v>
      </c>
      <c r="AM121" s="154">
        <f t="shared" si="189"/>
        <v>8.9383467413199061E-4</v>
      </c>
      <c r="AN121" s="154">
        <f t="shared" si="200"/>
        <v>2.9184176477197557E-6</v>
      </c>
      <c r="AO121" s="154">
        <f t="shared" si="190"/>
        <v>7.6097799575272122E-5</v>
      </c>
      <c r="AP121" s="154">
        <f t="shared" si="201"/>
        <v>5.466193792351185E-8</v>
      </c>
    </row>
    <row r="122" spans="2:42" x14ac:dyDescent="0.3">
      <c r="V122" s="76"/>
      <c r="W122" s="62">
        <f t="shared" si="191"/>
        <v>1251</v>
      </c>
      <c r="X122" s="63">
        <v>390</v>
      </c>
      <c r="Y122" s="62">
        <f t="shared" si="183"/>
        <v>0.47801987999999995</v>
      </c>
      <c r="Z122" s="65">
        <f t="shared" si="192"/>
        <v>0.49958468661654126</v>
      </c>
      <c r="AA122" s="65">
        <f t="shared" si="193"/>
        <v>0.49958468661654126</v>
      </c>
      <c r="AB122" s="65">
        <f t="shared" si="194"/>
        <v>0.10990863105563908</v>
      </c>
      <c r="AC122" s="65">
        <f t="shared" si="184"/>
        <v>0.60678261232911546</v>
      </c>
      <c r="AD122" s="65">
        <f t="shared" si="185"/>
        <v>0.39320328821011502</v>
      </c>
      <c r="AE122" s="65">
        <f t="shared" si="195"/>
        <v>0.8959159904552455</v>
      </c>
      <c r="AF122" s="65">
        <f t="shared" si="196"/>
        <v>0.10408400731639664</v>
      </c>
      <c r="AG122" s="154">
        <f t="shared" si="186"/>
        <v>0.30313930122480737</v>
      </c>
      <c r="AH122" s="154">
        <f t="shared" si="197"/>
        <v>9.846890005179304E-2</v>
      </c>
      <c r="AI122" s="154">
        <f t="shared" si="187"/>
        <v>7.5721876401776356E-2</v>
      </c>
      <c r="AJ122" s="154">
        <f t="shared" si="198"/>
        <v>5.4112910031235617E-3</v>
      </c>
      <c r="AK122" s="154">
        <f t="shared" si="188"/>
        <v>1.2609829964065969E-2</v>
      </c>
      <c r="AL122" s="154">
        <f t="shared" si="199"/>
        <v>1.9824919546566888E-4</v>
      </c>
      <c r="AM122" s="154">
        <f t="shared" si="189"/>
        <v>1.5749194877214424E-3</v>
      </c>
      <c r="AN122" s="154">
        <f t="shared" si="200"/>
        <v>5.44732442037837E-6</v>
      </c>
      <c r="AO122" s="154">
        <f t="shared" si="190"/>
        <v>1.5736113174392007E-4</v>
      </c>
      <c r="AP122" s="154">
        <f t="shared" si="201"/>
        <v>1.1974159399194786E-7</v>
      </c>
    </row>
    <row r="123" spans="2:42" x14ac:dyDescent="0.3">
      <c r="V123" s="76"/>
      <c r="W123" s="62">
        <f t="shared" si="191"/>
        <v>1251</v>
      </c>
      <c r="X123" s="63">
        <v>420</v>
      </c>
      <c r="Y123" s="62">
        <f t="shared" si="183"/>
        <v>0.55438991999999998</v>
      </c>
      <c r="Z123" s="65">
        <f t="shared" si="192"/>
        <v>0.57939999157894728</v>
      </c>
      <c r="AA123" s="65">
        <f t="shared" si="193"/>
        <v>0.57939999157894728</v>
      </c>
      <c r="AB123" s="65">
        <f t="shared" si="194"/>
        <v>0.12746799814736837</v>
      </c>
      <c r="AC123" s="65">
        <f t="shared" si="184"/>
        <v>0.56023441110497008</v>
      </c>
      <c r="AD123" s="65">
        <f t="shared" si="185"/>
        <v>0.43973352574964336</v>
      </c>
      <c r="AE123" s="65">
        <f t="shared" si="195"/>
        <v>0.88032158730515442</v>
      </c>
      <c r="AF123" s="65">
        <f t="shared" si="196"/>
        <v>0.11967840735315659</v>
      </c>
      <c r="AG123" s="154">
        <f t="shared" si="186"/>
        <v>0.32459981307645613</v>
      </c>
      <c r="AH123" s="154">
        <f t="shared" si="197"/>
        <v>0.1122128304597018</v>
      </c>
      <c r="AI123" s="154">
        <f t="shared" si="187"/>
        <v>9.4036564481513277E-2</v>
      </c>
      <c r="AJ123" s="154">
        <f t="shared" si="198"/>
        <v>7.1517724325741161E-3</v>
      </c>
      <c r="AK123" s="154">
        <f t="shared" si="188"/>
        <v>1.8161594889567308E-2</v>
      </c>
      <c r="AL123" s="154">
        <f t="shared" si="199"/>
        <v>3.0387403839525251E-4</v>
      </c>
      <c r="AM123" s="154">
        <f t="shared" si="189"/>
        <v>2.630706981518887E-3</v>
      </c>
      <c r="AN123" s="154">
        <f t="shared" si="200"/>
        <v>9.6835538407998483E-6</v>
      </c>
      <c r="AO123" s="154">
        <f t="shared" si="190"/>
        <v>3.0484632058774418E-4</v>
      </c>
      <c r="AP123" s="154">
        <f t="shared" si="201"/>
        <v>2.4686864460780341E-7</v>
      </c>
    </row>
    <row r="124" spans="2:42" x14ac:dyDescent="0.3">
      <c r="V124" s="76"/>
      <c r="W124" s="62">
        <f t="shared" si="191"/>
        <v>1251</v>
      </c>
      <c r="X124" s="63">
        <v>450</v>
      </c>
      <c r="Y124" s="62">
        <f t="shared" si="183"/>
        <v>0.63641700000000001</v>
      </c>
      <c r="Z124" s="65">
        <f t="shared" si="192"/>
        <v>0.66512754135338348</v>
      </c>
      <c r="AA124" s="65">
        <f t="shared" si="193"/>
        <v>0.66512754135338348</v>
      </c>
      <c r="AB124" s="65">
        <f t="shared" si="194"/>
        <v>0.14632805909774438</v>
      </c>
      <c r="AC124" s="65">
        <f t="shared" si="184"/>
        <v>0.51420794074751264</v>
      </c>
      <c r="AD124" s="65">
        <f t="shared" si="185"/>
        <v>0.4857238214179378</v>
      </c>
      <c r="AE124" s="65">
        <f t="shared" si="195"/>
        <v>0.86387425488466607</v>
      </c>
      <c r="AF124" s="65">
        <f t="shared" si="196"/>
        <v>0.13612573308621212</v>
      </c>
      <c r="AG124" s="154">
        <f t="shared" si="186"/>
        <v>0.34201386337377937</v>
      </c>
      <c r="AH124" s="154">
        <f t="shared" si="197"/>
        <v>0.1264090430217833</v>
      </c>
      <c r="AI124" s="154">
        <f t="shared" si="187"/>
        <v>0.11374142002728695</v>
      </c>
      <c r="AJ124" s="154">
        <f t="shared" si="198"/>
        <v>9.2485949588904087E-3</v>
      </c>
      <c r="AK124" s="154">
        <f t="shared" si="188"/>
        <v>2.5217517017597283E-2</v>
      </c>
      <c r="AL124" s="154">
        <f t="shared" si="199"/>
        <v>4.5110964990520555E-4</v>
      </c>
      <c r="AM124" s="154">
        <f t="shared" si="189"/>
        <v>4.1932162732378981E-3</v>
      </c>
      <c r="AN124" s="154">
        <f t="shared" si="200"/>
        <v>1.6502499877722923E-5</v>
      </c>
      <c r="AO124" s="154">
        <f t="shared" si="190"/>
        <v>5.5780472603634407E-4</v>
      </c>
      <c r="AP124" s="154">
        <f t="shared" si="201"/>
        <v>4.8295575547359188E-7</v>
      </c>
    </row>
    <row r="125" spans="2:42" x14ac:dyDescent="0.3">
      <c r="V125" s="76"/>
      <c r="W125" s="62">
        <f t="shared" si="191"/>
        <v>1251</v>
      </c>
      <c r="X125" s="63">
        <v>480</v>
      </c>
      <c r="Y125" s="62">
        <f t="shared" si="183"/>
        <v>0.72410112000000004</v>
      </c>
      <c r="Z125" s="65">
        <f t="shared" si="192"/>
        <v>0.75676733593984968</v>
      </c>
      <c r="AA125" s="65">
        <f t="shared" si="193"/>
        <v>0.75676733593984968</v>
      </c>
      <c r="AB125" s="65">
        <f t="shared" si="194"/>
        <v>0.16648881390676695</v>
      </c>
      <c r="AC125" s="65">
        <f t="shared" si="184"/>
        <v>0.46918068168029053</v>
      </c>
      <c r="AD125" s="65">
        <f t="shared" si="185"/>
        <v>0.53068231999589877</v>
      </c>
      <c r="AE125" s="65">
        <f t="shared" si="195"/>
        <v>0.84663228739017171</v>
      </c>
      <c r="AF125" s="65">
        <f t="shared" si="196"/>
        <v>0.15336768695938111</v>
      </c>
      <c r="AG125" s="154">
        <f t="shared" si="186"/>
        <v>0.35506061454963611</v>
      </c>
      <c r="AH125" s="154">
        <f t="shared" si="197"/>
        <v>0.14095480534276272</v>
      </c>
      <c r="AI125" s="154">
        <f t="shared" si="187"/>
        <v>0.13434913768494697</v>
      </c>
      <c r="AJ125" s="154">
        <f t="shared" si="198"/>
        <v>1.1733699177987894E-2</v>
      </c>
      <c r="AK125" s="154">
        <f t="shared" si="188"/>
        <v>3.3890346337217797E-2</v>
      </c>
      <c r="AL125" s="154">
        <f t="shared" si="199"/>
        <v>6.5117655296067025E-4</v>
      </c>
      <c r="AM125" s="154">
        <f t="shared" si="189"/>
        <v>6.4117767779237889E-3</v>
      </c>
      <c r="AN125" s="154">
        <f t="shared" si="200"/>
        <v>2.7103402986579753E-5</v>
      </c>
      <c r="AO125" s="154">
        <f t="shared" si="190"/>
        <v>9.7044464617407572E-4</v>
      </c>
      <c r="AP125" s="154">
        <f t="shared" si="201"/>
        <v>9.0248268321455759E-7</v>
      </c>
    </row>
    <row r="126" spans="2:42" x14ac:dyDescent="0.3">
      <c r="V126" s="76"/>
      <c r="W126" s="62">
        <f t="shared" si="191"/>
        <v>1251</v>
      </c>
      <c r="X126" s="63">
        <v>510</v>
      </c>
      <c r="Y126" s="62">
        <f t="shared" si="183"/>
        <v>0.81744227999999997</v>
      </c>
      <c r="Z126" s="65">
        <f t="shared" si="192"/>
        <v>0.85431937533834579</v>
      </c>
      <c r="AA126" s="65">
        <f t="shared" si="193"/>
        <v>0.85431937533834579</v>
      </c>
      <c r="AB126" s="65">
        <f t="shared" si="194"/>
        <v>0.18795026257443603</v>
      </c>
      <c r="AC126" s="65">
        <f t="shared" si="184"/>
        <v>0.42557274783886839</v>
      </c>
      <c r="AD126" s="65">
        <f t="shared" si="185"/>
        <v>0.57416609270475538</v>
      </c>
      <c r="AE126" s="65">
        <f t="shared" si="195"/>
        <v>0.82865592141993816</v>
      </c>
      <c r="AF126" s="65">
        <f>SUM(AH126,AJ126,AL126,AN126,AP126)</f>
        <v>0.17134402645113656</v>
      </c>
      <c r="AG126" s="154">
        <f t="shared" si="186"/>
        <v>0.36357504409472541</v>
      </c>
      <c r="AH126" s="154">
        <f t="shared" si="197"/>
        <v>0.1557460980147386</v>
      </c>
      <c r="AI126" s="154">
        <f t="shared" si="187"/>
        <v>0.15530460227980866</v>
      </c>
      <c r="AJ126" s="154">
        <f t="shared" si="198"/>
        <v>1.4636260008406985E-2</v>
      </c>
      <c r="AK126" s="154">
        <f t="shared" si="188"/>
        <v>4.4226576935618794E-2</v>
      </c>
      <c r="AL126" s="154">
        <f t="shared" si="199"/>
        <v>9.1696297056260338E-4</v>
      </c>
      <c r="AM126" s="154">
        <f t="shared" si="189"/>
        <v>9.4459053952477851E-3</v>
      </c>
      <c r="AN126" s="154">
        <f t="shared" si="200"/>
        <v>4.3085857772069037E-5</v>
      </c>
      <c r="AO126" s="154">
        <f t="shared" si="190"/>
        <v>1.6139639993546393E-3</v>
      </c>
      <c r="AP126" s="154">
        <f t="shared" si="201"/>
        <v>1.6195996563010363E-6</v>
      </c>
    </row>
    <row r="127" spans="2:42" x14ac:dyDescent="0.3">
      <c r="V127" s="38"/>
      <c r="W127" s="38"/>
      <c r="X127" s="38"/>
      <c r="Y127" s="38"/>
      <c r="Z127" s="38"/>
      <c r="AA127" s="38"/>
      <c r="AB127" s="38"/>
      <c r="AC127" s="38"/>
      <c r="AD127" s="38"/>
      <c r="AE127" s="38"/>
      <c r="AF127" s="38"/>
      <c r="AG127" s="38"/>
      <c r="AH127" s="38"/>
      <c r="AI127" s="38"/>
      <c r="AJ127" s="38"/>
      <c r="AK127" s="38"/>
      <c r="AL127" s="38"/>
      <c r="AM127" s="38"/>
      <c r="AN127" s="38"/>
      <c r="AO127" s="38"/>
      <c r="AP127" s="38"/>
    </row>
    <row r="128" spans="2:42" ht="42.75" customHeight="1" x14ac:dyDescent="0.3">
      <c r="V128" s="1383" t="s">
        <v>392</v>
      </c>
      <c r="W128" s="1383"/>
      <c r="X128" s="1383"/>
      <c r="Y128" s="1383"/>
      <c r="Z128" s="1383"/>
      <c r="AA128" s="1383"/>
      <c r="AB128" s="1383"/>
      <c r="AC128" s="1383"/>
      <c r="AD128" s="1383"/>
      <c r="AE128" s="1383"/>
      <c r="AF128" s="1383"/>
      <c r="AG128" s="1383"/>
      <c r="AH128" s="1383"/>
      <c r="AI128" s="1383"/>
      <c r="AJ128" s="1383"/>
      <c r="AK128" s="1383"/>
      <c r="AL128" s="1383"/>
      <c r="AM128" s="1383"/>
      <c r="AN128" s="1383"/>
      <c r="AO128" s="1383"/>
      <c r="AP128" s="981"/>
    </row>
    <row r="129" spans="22:42" ht="93" customHeight="1" thickBot="1" x14ac:dyDescent="0.35">
      <c r="V129" s="57"/>
      <c r="W129" s="58" t="s">
        <v>362</v>
      </c>
      <c r="X129" s="58" t="s">
        <v>363</v>
      </c>
      <c r="Y129" s="59" t="s">
        <v>364</v>
      </c>
      <c r="Z129" s="57" t="s">
        <v>365</v>
      </c>
      <c r="AA129" s="52" t="s">
        <v>366</v>
      </c>
      <c r="AB129" s="52" t="s">
        <v>367</v>
      </c>
      <c r="AC129" s="60" t="s">
        <v>368</v>
      </c>
      <c r="AD129" s="152" t="s">
        <v>382</v>
      </c>
      <c r="AE129" s="57" t="s">
        <v>419</v>
      </c>
      <c r="AF129" s="152" t="s">
        <v>383</v>
      </c>
      <c r="AG129" s="153" t="s">
        <v>371</v>
      </c>
      <c r="AH129" s="153" t="s">
        <v>372</v>
      </c>
      <c r="AI129" s="153" t="s">
        <v>373</v>
      </c>
      <c r="AJ129" s="153" t="s">
        <v>374</v>
      </c>
      <c r="AK129" s="153" t="s">
        <v>375</v>
      </c>
      <c r="AL129" s="153" t="s">
        <v>376</v>
      </c>
      <c r="AM129" s="153" t="s">
        <v>377</v>
      </c>
      <c r="AN129" s="153" t="s">
        <v>378</v>
      </c>
      <c r="AO129" s="153" t="s">
        <v>379</v>
      </c>
      <c r="AP129" s="153" t="s">
        <v>380</v>
      </c>
    </row>
    <row r="130" spans="22:42" ht="15" thickTop="1" x14ac:dyDescent="0.3">
      <c r="V130" s="68"/>
      <c r="W130" s="62">
        <f>ROUNDUP(($G$4/$P$13),0)</f>
        <v>588</v>
      </c>
      <c r="X130" s="63">
        <v>30</v>
      </c>
      <c r="Y130" s="86">
        <f t="shared" ref="Y130:Y150" si="202">((X130^2)*3.1428)/1000000</f>
        <v>2.8285200000000002E-3</v>
      </c>
      <c r="Z130" s="65">
        <f>W130/(1197/$Y130)</f>
        <v>1.3894484210526317E-3</v>
      </c>
      <c r="AA130" s="65">
        <f>1*$Z130</f>
        <v>1.3894484210526317E-3</v>
      </c>
      <c r="AB130" s="65">
        <f>1*($Z130-($Z130*0.78))</f>
        <v>3.0567865263157897E-4</v>
      </c>
      <c r="AC130" s="65">
        <f t="shared" ref="AC130:AC150" si="203">EXP(-$AA130)</f>
        <v>0.99861151641548951</v>
      </c>
      <c r="AD130" s="65">
        <f t="shared" ref="AD130:AD150" si="204">SUM(AG130,AI130,AK130,AM130,AO130)</f>
        <v>1.388483584510522E-3</v>
      </c>
      <c r="AE130" s="65">
        <f>EXP(-AB130)</f>
        <v>0.9996943680623277</v>
      </c>
      <c r="AF130" s="65">
        <f>SUM(AH130,AJ130,AL130,AN130,AP130)</f>
        <v>3.0563193767228482E-4</v>
      </c>
      <c r="AG130" s="154">
        <f t="shared" ref="AG130:AG150" si="205">EXP(-$AA130)*POWER($AA130,1)</f>
        <v>1.3875191947284762E-3</v>
      </c>
      <c r="AH130" s="154">
        <f>EXP(-$AB130)*POWER($AB130,1)</f>
        <v>3.0558522747267013E-4</v>
      </c>
      <c r="AI130" s="154">
        <f t="shared" ref="AI130:AI150" si="206">EXP(-$AA130)*POWER($AA130,2)/FACT(2)</f>
        <v>9.6394317714785026E-7</v>
      </c>
      <c r="AJ130" s="154">
        <f>EXP(-$AB130)*POWER($AB130,2)/FACT(2)</f>
        <v>4.6705440298980186E-8</v>
      </c>
      <c r="AK130" s="154">
        <f t="shared" ref="AK130:AK150" si="207">EXP(-$AA130)*POWER($AA130,3)/FACT(3)</f>
        <v>4.4644977515751253E-10</v>
      </c>
      <c r="AL130" s="154">
        <f>EXP(-$AB130)*POWER($AB130,3)/FACT(3)</f>
        <v>4.7589520203856384E-12</v>
      </c>
      <c r="AM130" s="154">
        <f t="shared" ref="AM130:AM150" si="208">EXP(-$AA130)*POWER($AA130,4)/FACT(4)</f>
        <v>1.5507973379297709E-13</v>
      </c>
      <c r="AN130" s="154">
        <f>EXP(-$AB130)*POWER($AB130,4)/FACT(4)</f>
        <v>3.6367751038245301E-16</v>
      </c>
      <c r="AO130" s="154">
        <f t="shared" ref="AO130:AO150" si="209">EXP(-$AA130)*POWER($AA130,5)/FACT(5)</f>
        <v>4.309505825118289E-17</v>
      </c>
      <c r="AP130" s="154">
        <f>EXP(-$AB130)*POWER($AB130,5)/FACT(5)</f>
        <v>2.2233690273223064E-20</v>
      </c>
    </row>
    <row r="131" spans="22:42" x14ac:dyDescent="0.3">
      <c r="V131" s="68"/>
      <c r="W131" s="62">
        <f t="shared" ref="W131:W150" si="210">ROUNDUP(($G$4/$P$13),0)</f>
        <v>588</v>
      </c>
      <c r="X131" s="63">
        <v>60</v>
      </c>
      <c r="Y131" s="86">
        <f t="shared" si="202"/>
        <v>1.1314080000000001E-2</v>
      </c>
      <c r="Z131" s="65">
        <f t="shared" ref="Z131:Z146" si="211">W131/(1197/$Y131)</f>
        <v>5.5577936842105269E-3</v>
      </c>
      <c r="AA131" s="65">
        <f t="shared" ref="AA131:AA150" si="212">1*$Z131</f>
        <v>5.5577936842105269E-3</v>
      </c>
      <c r="AB131" s="65">
        <f t="shared" ref="AB131:AB150" si="213">1*($Z131-($Z131*0.78))</f>
        <v>1.2227146105263159E-3</v>
      </c>
      <c r="AC131" s="65">
        <f t="shared" si="203"/>
        <v>0.99445762227830548</v>
      </c>
      <c r="AD131" s="65">
        <f t="shared" si="204"/>
        <v>5.5423777216945143E-3</v>
      </c>
      <c r="AE131" s="65">
        <f t="shared" ref="AE131:AE150" si="214">EXP(-AB131)</f>
        <v>0.99877803260041009</v>
      </c>
      <c r="AF131" s="65">
        <f t="shared" ref="AF131:AF146" si="215">SUM(AH131,AJ131,AL131,AN131,AP131)</f>
        <v>1.2219673995898564E-3</v>
      </c>
      <c r="AG131" s="154">
        <f t="shared" si="205"/>
        <v>5.5269902923133843E-3</v>
      </c>
      <c r="AH131" s="154">
        <f t="shared" ref="AH131:AH150" si="216">EXP(-$AB131)*POWER($AB131,1)</f>
        <v>1.2212204931332505E-3</v>
      </c>
      <c r="AI131" s="154">
        <f t="shared" si="206"/>
        <v>1.5358935869656112E-5</v>
      </c>
      <c r="AJ131" s="154">
        <f t="shared" ref="AJ131:AJ150" si="217">EXP(-$AB131)*POWER($AB131,2)/FACT(2)</f>
        <v>7.4660206981408883E-7</v>
      </c>
      <c r="AK131" s="154">
        <f t="shared" si="207"/>
        <v>2.8453932257523082E-8</v>
      </c>
      <c r="AL131" s="154">
        <f t="shared" ref="AL131:AL150" si="218">EXP(-$AB131)*POWER($AB131,3)/FACT(3)</f>
        <v>3.0429375300362499E-10</v>
      </c>
      <c r="AM131" s="154">
        <f t="shared" si="208"/>
        <v>3.9535271247953997E-11</v>
      </c>
      <c r="AN131" s="154">
        <f t="shared" ref="AN131:AN150" si="219">EXP(-$AB131)*POWER($AB131,4)/FACT(4)</f>
        <v>9.301610442235455E-14</v>
      </c>
      <c r="AO131" s="154">
        <f t="shared" si="209"/>
        <v>4.3945776169085748E-14</v>
      </c>
      <c r="AP131" s="154">
        <f t="shared" ref="AP131:AP150" si="220">EXP(-$AB131)*POWER($AB131,5)/FACT(5)</f>
        <v>2.2746429978290876E-17</v>
      </c>
    </row>
    <row r="132" spans="22:42" x14ac:dyDescent="0.3">
      <c r="V132" s="68"/>
      <c r="W132" s="62">
        <f t="shared" si="210"/>
        <v>588</v>
      </c>
      <c r="X132" s="63">
        <v>90</v>
      </c>
      <c r="Y132" s="86">
        <f t="shared" si="202"/>
        <v>2.5456679999999999E-2</v>
      </c>
      <c r="Z132" s="65">
        <f t="shared" si="211"/>
        <v>1.2505035789473682E-2</v>
      </c>
      <c r="AA132" s="65">
        <f t="shared" si="212"/>
        <v>1.2505035789473682E-2</v>
      </c>
      <c r="AB132" s="65">
        <f t="shared" si="213"/>
        <v>2.7511078736842092E-3</v>
      </c>
      <c r="AC132" s="65">
        <f t="shared" si="203"/>
        <v>0.98757282727251128</v>
      </c>
      <c r="AD132" s="65">
        <f t="shared" si="204"/>
        <v>1.2427172727483428E-2</v>
      </c>
      <c r="AE132" s="65">
        <f t="shared" si="214"/>
        <v>0.99725267295563091</v>
      </c>
      <c r="AF132" s="65">
        <f t="shared" si="215"/>
        <v>2.7473270443690479E-3</v>
      </c>
      <c r="AG132" s="154">
        <f t="shared" si="205"/>
        <v>1.2349633549754465E-2</v>
      </c>
      <c r="AH132" s="154">
        <f t="shared" si="216"/>
        <v>2.7435496806208597E-3</v>
      </c>
      <c r="AI132" s="154">
        <f t="shared" si="206"/>
        <v>7.7216304763282252E-5</v>
      </c>
      <c r="AJ132" s="154">
        <f t="shared" si="217"/>
        <v>3.7739005640999227E-6</v>
      </c>
      <c r="AK132" s="154">
        <f t="shared" si="207"/>
        <v>3.2186421819858391E-7</v>
      </c>
      <c r="AL132" s="154">
        <f t="shared" si="218"/>
        <v>3.460802518798858E-9</v>
      </c>
      <c r="AM132" s="154">
        <f t="shared" si="208"/>
        <v>1.0062308919810645E-9</v>
      </c>
      <c r="AN132" s="154">
        <f t="shared" si="219"/>
        <v>2.3802602646834207E-12</v>
      </c>
      <c r="AO132" s="154">
        <f t="shared" si="209"/>
        <v>2.5165906633394472E-12</v>
      </c>
      <c r="AP132" s="154">
        <f t="shared" si="220"/>
        <v>1.3096705511176437E-15</v>
      </c>
    </row>
    <row r="133" spans="22:42" x14ac:dyDescent="0.3">
      <c r="V133" s="38"/>
      <c r="W133" s="62">
        <f t="shared" si="210"/>
        <v>588</v>
      </c>
      <c r="X133" s="63">
        <v>120</v>
      </c>
      <c r="Y133" s="86">
        <f t="shared" si="202"/>
        <v>4.5256320000000003E-2</v>
      </c>
      <c r="Z133" s="65">
        <f t="shared" si="211"/>
        <v>2.2231174736842108E-2</v>
      </c>
      <c r="AA133" s="65">
        <f t="shared" si="212"/>
        <v>2.2231174736842108E-2</v>
      </c>
      <c r="AB133" s="65">
        <f t="shared" si="213"/>
        <v>4.8908584421052635E-3</v>
      </c>
      <c r="AC133" s="65">
        <f t="shared" si="203"/>
        <v>0.97801411675972905</v>
      </c>
      <c r="AD133" s="65">
        <f t="shared" si="204"/>
        <v>2.1985883240106502E-2</v>
      </c>
      <c r="AE133" s="65">
        <f t="shared" si="214"/>
        <v>0.9951210823312362</v>
      </c>
      <c r="AF133" s="65">
        <f t="shared" si="215"/>
        <v>4.8789176687638134E-3</v>
      </c>
      <c r="AG133" s="154">
        <f t="shared" si="205"/>
        <v>2.1742402724783835E-2</v>
      </c>
      <c r="AH133" s="154">
        <f t="shared" si="216"/>
        <v>4.8669963464366538E-3</v>
      </c>
      <c r="AI133" s="154">
        <f t="shared" si="206"/>
        <v>2.4167957708673074E-4</v>
      </c>
      <c r="AJ133" s="154">
        <f t="shared" si="217"/>
        <v>1.1901895084332589E-5</v>
      </c>
      <c r="AK133" s="154">
        <f t="shared" si="207"/>
        <v>1.7909403028470708E-6</v>
      </c>
      <c r="AL133" s="154">
        <f t="shared" si="218"/>
        <v>1.9403494683419726E-8</v>
      </c>
      <c r="AM133" s="154">
        <f t="shared" si="208"/>
        <v>9.9536767039615389E-9</v>
      </c>
      <c r="AN133" s="154">
        <f t="shared" si="219"/>
        <v>2.3724936444686988E-11</v>
      </c>
      <c r="AO133" s="154">
        <f t="shared" si="209"/>
        <v>4.425638521596072E-11</v>
      </c>
      <c r="AP133" s="154">
        <f t="shared" si="220"/>
        <v>2.3207061139781642E-14</v>
      </c>
    </row>
    <row r="134" spans="22:42" x14ac:dyDescent="0.3">
      <c r="V134" s="76"/>
      <c r="W134" s="62">
        <f t="shared" si="210"/>
        <v>588</v>
      </c>
      <c r="X134" s="63">
        <v>150</v>
      </c>
      <c r="Y134" s="86">
        <f t="shared" si="202"/>
        <v>7.0712999999999998E-2</v>
      </c>
      <c r="Z134" s="65">
        <f t="shared" si="211"/>
        <v>3.4736210526315786E-2</v>
      </c>
      <c r="AA134" s="65">
        <f t="shared" si="212"/>
        <v>3.4736210526315786E-2</v>
      </c>
      <c r="AB134" s="65">
        <f t="shared" si="213"/>
        <v>7.641966315789471E-3</v>
      </c>
      <c r="AC134" s="65">
        <f t="shared" si="203"/>
        <v>0.96586016640083361</v>
      </c>
      <c r="AD134" s="65">
        <f t="shared" si="204"/>
        <v>3.4139833596798147E-2</v>
      </c>
      <c r="AE134" s="65">
        <f t="shared" si="214"/>
        <v>0.99238715926932575</v>
      </c>
      <c r="AF134" s="65">
        <f t="shared" si="215"/>
        <v>7.6128407306739598E-3</v>
      </c>
      <c r="AG134" s="154">
        <f t="shared" si="205"/>
        <v>3.3550322079081756E-2</v>
      </c>
      <c r="AH134" s="154">
        <f t="shared" si="216"/>
        <v>7.5837892433581883E-3</v>
      </c>
      <c r="AI134" s="154">
        <f t="shared" si="206"/>
        <v>5.827055254823423E-4</v>
      </c>
      <c r="AJ134" s="154">
        <f t="shared" si="217"/>
        <v>2.8977530971894898E-5</v>
      </c>
      <c r="AK134" s="154">
        <f t="shared" si="207"/>
        <v>6.746993936000703E-6</v>
      </c>
      <c r="AL134" s="154">
        <f t="shared" si="218"/>
        <v>7.3815105200655647E-8</v>
      </c>
      <c r="AM134" s="154">
        <f t="shared" si="208"/>
        <v>5.8591250445174099E-8</v>
      </c>
      <c r="AN134" s="154">
        <f t="shared" si="219"/>
        <v>1.4102313688496664E-10</v>
      </c>
      <c r="AO134" s="154">
        <f t="shared" si="209"/>
        <v>4.0704760209273222E-10</v>
      </c>
      <c r="AP134" s="154">
        <f t="shared" si="220"/>
        <v>2.1553881236437656E-13</v>
      </c>
    </row>
    <row r="135" spans="22:42" x14ac:dyDescent="0.3">
      <c r="V135" s="76"/>
      <c r="W135" s="62">
        <f t="shared" si="210"/>
        <v>588</v>
      </c>
      <c r="X135" s="63">
        <v>180</v>
      </c>
      <c r="Y135" s="86">
        <f t="shared" si="202"/>
        <v>0.10182672</v>
      </c>
      <c r="Z135" s="65">
        <f t="shared" si="211"/>
        <v>5.0020143157894728E-2</v>
      </c>
      <c r="AA135" s="65">
        <f t="shared" si="212"/>
        <v>5.0020143157894728E-2</v>
      </c>
      <c r="AB135" s="65">
        <f t="shared" si="213"/>
        <v>1.1004431494736837E-2</v>
      </c>
      <c r="AC135" s="65">
        <f t="shared" si="203"/>
        <v>0.95121026392920005</v>
      </c>
      <c r="AD135" s="65">
        <f t="shared" si="204"/>
        <v>4.8789736049958635E-2</v>
      </c>
      <c r="AE135" s="65">
        <f t="shared" si="214"/>
        <v>0.98905589576966058</v>
      </c>
      <c r="AF135" s="65">
        <f t="shared" si="215"/>
        <v>1.0944104230337025E-2</v>
      </c>
      <c r="AG135" s="154">
        <f t="shared" si="205"/>
        <v>4.7579673574997414E-2</v>
      </c>
      <c r="AH135" s="154">
        <f t="shared" si="216"/>
        <v>1.0883997849462807E-2</v>
      </c>
      <c r="AI135" s="154">
        <f t="shared" si="206"/>
        <v>1.1899710418136358E-3</v>
      </c>
      <c r="AJ135" s="154">
        <f t="shared" si="217"/>
        <v>5.9886104361638257E-5</v>
      </c>
      <c r="AK135" s="154">
        <f t="shared" si="207"/>
        <v>1.9840840621755734E-5</v>
      </c>
      <c r="AL135" s="154">
        <f t="shared" si="218"/>
        <v>2.1967084431143633E-7</v>
      </c>
      <c r="AM135" s="154">
        <f t="shared" si="208"/>
        <v>2.4811042206829866E-7</v>
      </c>
      <c r="AN135" s="154">
        <f t="shared" si="219"/>
        <v>6.043381894040506E-10</v>
      </c>
      <c r="AO135" s="154">
        <f t="shared" si="209"/>
        <v>2.4821037661643966E-9</v>
      </c>
      <c r="AP135" s="154">
        <f t="shared" si="220"/>
        <v>1.3300796409900343E-12</v>
      </c>
    </row>
    <row r="136" spans="22:42" x14ac:dyDescent="0.3">
      <c r="V136" s="76"/>
      <c r="W136" s="62">
        <f t="shared" si="210"/>
        <v>588</v>
      </c>
      <c r="X136" s="63">
        <v>210</v>
      </c>
      <c r="Y136" s="86">
        <f t="shared" si="202"/>
        <v>0.13859748</v>
      </c>
      <c r="Z136" s="65">
        <f t="shared" si="211"/>
        <v>6.8082972631578934E-2</v>
      </c>
      <c r="AA136" s="65">
        <f t="shared" si="212"/>
        <v>6.8082972631578934E-2</v>
      </c>
      <c r="AB136" s="65">
        <f t="shared" si="213"/>
        <v>1.4978253978947365E-2</v>
      </c>
      <c r="AC136" s="65">
        <f t="shared" si="203"/>
        <v>0.93418295874299007</v>
      </c>
      <c r="AD136" s="65">
        <f t="shared" si="204"/>
        <v>6.5817041126522174E-2</v>
      </c>
      <c r="AE136" s="65">
        <f t="shared" si="214"/>
        <v>0.98513336210096669</v>
      </c>
      <c r="AF136" s="65">
        <f t="shared" si="215"/>
        <v>1.4866637899017843E-2</v>
      </c>
      <c r="AG136" s="154">
        <f t="shared" si="205"/>
        <v>6.3601952812986431E-2</v>
      </c>
      <c r="AH136" s="154">
        <f t="shared" si="216"/>
        <v>1.4755577700682599E-2</v>
      </c>
      <c r="AI136" s="154">
        <f t="shared" si="206"/>
        <v>2.1651050063407648E-3</v>
      </c>
      <c r="AJ136" s="154">
        <f t="shared" si="217"/>
        <v>1.1050639520345807E-4</v>
      </c>
      <c r="AK136" s="154">
        <f t="shared" si="207"/>
        <v>4.9135594963730934E-5</v>
      </c>
      <c r="AL136" s="154">
        <f t="shared" si="218"/>
        <v>5.5173095121844195E-7</v>
      </c>
      <c r="AM136" s="154">
        <f t="shared" si="208"/>
        <v>8.3632434178801014E-7</v>
      </c>
      <c r="AN136" s="154">
        <f t="shared" si="219"/>
        <v>2.0659915788490107E-9</v>
      </c>
      <c r="AO136" s="154">
        <f t="shared" si="209"/>
        <v>1.1387889454615272E-8</v>
      </c>
      <c r="AP136" s="154">
        <f t="shared" si="220"/>
        <v>6.188989317273389E-12</v>
      </c>
    </row>
    <row r="137" spans="22:42" x14ac:dyDescent="0.3">
      <c r="V137" s="76"/>
      <c r="W137" s="62">
        <f t="shared" si="210"/>
        <v>588</v>
      </c>
      <c r="X137" s="63">
        <v>240</v>
      </c>
      <c r="Y137" s="86">
        <f t="shared" si="202"/>
        <v>0.18102528000000001</v>
      </c>
      <c r="Z137" s="65">
        <f t="shared" si="211"/>
        <v>8.892469894736843E-2</v>
      </c>
      <c r="AA137" s="65">
        <f t="shared" si="212"/>
        <v>8.892469894736843E-2</v>
      </c>
      <c r="AB137" s="65">
        <f t="shared" si="213"/>
        <v>1.9563433768421054E-2</v>
      </c>
      <c r="AC137" s="65">
        <f t="shared" si="203"/>
        <v>0.91491446500290352</v>
      </c>
      <c r="AD137" s="65">
        <f t="shared" si="204"/>
        <v>8.5085534360702791E-2</v>
      </c>
      <c r="AE137" s="65">
        <f t="shared" si="214"/>
        <v>0.98062668836942302</v>
      </c>
      <c r="AF137" s="65">
        <f t="shared" si="215"/>
        <v>1.9373311630500385E-2</v>
      </c>
      <c r="AG137" s="154">
        <f t="shared" si="205"/>
        <v>8.1358493362975848E-2</v>
      </c>
      <c r="AH137" s="154">
        <f t="shared" si="216"/>
        <v>1.9184425269461281E-2</v>
      </c>
      <c r="AI137" s="154">
        <f t="shared" si="206"/>
        <v>3.61738976455705E-3</v>
      </c>
      <c r="AJ137" s="154">
        <f t="shared" si="217"/>
        <v>1.8765661657216449E-4</v>
      </c>
      <c r="AK137" s="154">
        <f t="shared" si="207"/>
        <v>1.0722509859617588E-4</v>
      </c>
      <c r="AL137" s="154">
        <f t="shared" si="218"/>
        <v>1.2237359298385082E-6</v>
      </c>
      <c r="AM137" s="154">
        <f t="shared" si="208"/>
        <v>2.3837399030667095E-6</v>
      </c>
      <c r="AN137" s="154">
        <f t="shared" si="219"/>
        <v>5.9851192033582022E-9</v>
      </c>
      <c r="AO137" s="154">
        <f t="shared" si="209"/>
        <v>4.2394670649807272E-8</v>
      </c>
      <c r="AP137" s="154">
        <f t="shared" si="220"/>
        <v>2.3417896626200632E-11</v>
      </c>
    </row>
    <row r="138" spans="22:42" x14ac:dyDescent="0.3">
      <c r="V138" s="76"/>
      <c r="W138" s="62">
        <f t="shared" si="210"/>
        <v>588</v>
      </c>
      <c r="X138" s="63">
        <v>270</v>
      </c>
      <c r="Y138" s="86">
        <f t="shared" si="202"/>
        <v>0.22911012</v>
      </c>
      <c r="Z138" s="65">
        <f t="shared" si="211"/>
        <v>0.11254532210526315</v>
      </c>
      <c r="AA138" s="65">
        <f t="shared" si="212"/>
        <v>0.11254532210526315</v>
      </c>
      <c r="AB138" s="65">
        <f t="shared" si="213"/>
        <v>2.4759970863157885E-2</v>
      </c>
      <c r="AC138" s="65">
        <f t="shared" si="203"/>
        <v>0.89355684831323945</v>
      </c>
      <c r="AD138" s="65">
        <f t="shared" si="204"/>
        <v>0.10644314912357958</v>
      </c>
      <c r="AE138" s="65">
        <f t="shared" si="214"/>
        <v>0.9755440429226645</v>
      </c>
      <c r="AF138" s="65">
        <f t="shared" si="215"/>
        <v>2.4455957077022181E-2</v>
      </c>
      <c r="AG138" s="154">
        <f t="shared" si="205"/>
        <v>0.1005656433127773</v>
      </c>
      <c r="AH138" s="154">
        <f t="shared" si="216"/>
        <v>2.4154442078492419E-2</v>
      </c>
      <c r="AI138" s="154">
        <f t="shared" si="206"/>
        <v>5.6590963596797623E-3</v>
      </c>
      <c r="AJ138" s="154">
        <f t="shared" si="217"/>
        <v>2.9903164103965355E-4</v>
      </c>
      <c r="AK138" s="154">
        <f t="shared" si="207"/>
        <v>2.1230160754162698E-4</v>
      </c>
      <c r="AL138" s="154">
        <f t="shared" si="218"/>
        <v>2.468004906434703E-6</v>
      </c>
      <c r="AM138" s="154">
        <f t="shared" si="208"/>
        <v>5.9733882010593932E-6</v>
      </c>
      <c r="AN138" s="154">
        <f t="shared" si="219"/>
        <v>1.5276932393363487E-8</v>
      </c>
      <c r="AO138" s="154">
        <f t="shared" si="209"/>
        <v>1.3445537982960159E-7</v>
      </c>
      <c r="AP138" s="154">
        <f t="shared" si="220"/>
        <v>7.5651280187622548E-11</v>
      </c>
    </row>
    <row r="139" spans="22:42" x14ac:dyDescent="0.3">
      <c r="V139" s="76"/>
      <c r="W139" s="62">
        <f t="shared" si="210"/>
        <v>588</v>
      </c>
      <c r="X139" s="63">
        <v>300</v>
      </c>
      <c r="Y139" s="86">
        <f t="shared" si="202"/>
        <v>0.28285199999999999</v>
      </c>
      <c r="Z139" s="65">
        <f t="shared" si="211"/>
        <v>0.13894484210526314</v>
      </c>
      <c r="AA139" s="65">
        <f t="shared" si="212"/>
        <v>0.13894484210526314</v>
      </c>
      <c r="AB139" s="65">
        <f t="shared" si="213"/>
        <v>3.0567865263157884E-2</v>
      </c>
      <c r="AC139" s="65">
        <f t="shared" si="203"/>
        <v>0.87027602972805473</v>
      </c>
      <c r="AD139" s="65">
        <f t="shared" si="204"/>
        <v>0.12972396139907433</v>
      </c>
      <c r="AE139" s="65">
        <f t="shared" si="214"/>
        <v>0.96989460768085545</v>
      </c>
      <c r="AF139" s="65">
        <f t="shared" si="215"/>
        <v>3.0105392318040752E-2</v>
      </c>
      <c r="AG139" s="154">
        <f t="shared" si="205"/>
        <v>0.12092036553855987</v>
      </c>
      <c r="AH139" s="154">
        <f t="shared" si="216"/>
        <v>2.9647607687051766E-2</v>
      </c>
      <c r="AI139" s="154">
        <f t="shared" si="206"/>
        <v>8.4006305485329509E-3</v>
      </c>
      <c r="AJ139" s="154">
        <f t="shared" si="217"/>
        <v>4.5313203857638116E-4</v>
      </c>
      <c r="AK139" s="154">
        <f t="shared" si="207"/>
        <v>3.890747617168537E-4</v>
      </c>
      <c r="AL139" s="154">
        <f t="shared" si="218"/>
        <v>4.6170930338742928E-6</v>
      </c>
      <c r="AM139" s="154">
        <f t="shared" si="208"/>
        <v>1.3514982833472777E-5</v>
      </c>
      <c r="AN139" s="154">
        <f t="shared" si="219"/>
        <v>3.5283669441733562E-8</v>
      </c>
      <c r="AO139" s="154">
        <f t="shared" si="209"/>
        <v>3.7556743117044343E-7</v>
      </c>
      <c r="AP139" s="154">
        <f t="shared" si="220"/>
        <v>2.1570929069694254E-10</v>
      </c>
    </row>
    <row r="140" spans="22:42" x14ac:dyDescent="0.3">
      <c r="V140" s="76"/>
      <c r="W140" s="62">
        <f t="shared" si="210"/>
        <v>588</v>
      </c>
      <c r="X140" s="63">
        <v>330</v>
      </c>
      <c r="Y140" s="86">
        <f t="shared" si="202"/>
        <v>0.34225091999999996</v>
      </c>
      <c r="Z140" s="65">
        <f t="shared" si="211"/>
        <v>0.1681232589473684</v>
      </c>
      <c r="AA140" s="65">
        <f t="shared" si="212"/>
        <v>0.1681232589473684</v>
      </c>
      <c r="AB140" s="65">
        <f t="shared" si="213"/>
        <v>3.6987116968421052E-2</v>
      </c>
      <c r="AC140" s="65">
        <f t="shared" si="203"/>
        <v>0.84524964368221023</v>
      </c>
      <c r="AD140" s="65">
        <f t="shared" si="204"/>
        <v>0.1547503291568495</v>
      </c>
      <c r="AE140" s="65">
        <f t="shared" si="214"/>
        <v>0.96368855049910929</v>
      </c>
      <c r="AF140" s="65">
        <f t="shared" si="215"/>
        <v>3.6311449497445615E-2</v>
      </c>
      <c r="AG140" s="154">
        <f t="shared" si="205"/>
        <v>0.1421061247199551</v>
      </c>
      <c r="AH140" s="154">
        <f t="shared" si="216"/>
        <v>3.5644061138438696E-2</v>
      </c>
      <c r="AI140" s="154">
        <f t="shared" si="206"/>
        <v>1.1945672402150021E-2</v>
      </c>
      <c r="AJ140" s="154">
        <f t="shared" si="217"/>
        <v>6.5918552927849154E-4</v>
      </c>
      <c r="AK140" s="154">
        <f t="shared" si="207"/>
        <v>6.6944845818903349E-4</v>
      </c>
      <c r="AL140" s="154">
        <f t="shared" si="218"/>
        <v>8.1271240917713708E-6</v>
      </c>
      <c r="AM140" s="154">
        <f t="shared" si="208"/>
        <v>2.813746412200785E-5</v>
      </c>
      <c r="AN140" s="154">
        <f t="shared" si="219"/>
        <v>7.5149722349805091E-8</v>
      </c>
      <c r="AO140" s="154">
        <f t="shared" si="209"/>
        <v>9.4611243334132286E-7</v>
      </c>
      <c r="AP140" s="154">
        <f t="shared" si="220"/>
        <v>5.5591431413932135E-10</v>
      </c>
    </row>
    <row r="141" spans="22:42" x14ac:dyDescent="0.3">
      <c r="V141" s="76"/>
      <c r="W141" s="62">
        <f t="shared" si="210"/>
        <v>588</v>
      </c>
      <c r="X141" s="63">
        <v>360</v>
      </c>
      <c r="Y141" s="86">
        <f t="shared" si="202"/>
        <v>0.40730687999999998</v>
      </c>
      <c r="Z141" s="65">
        <f t="shared" si="211"/>
        <v>0.20008057263157891</v>
      </c>
      <c r="AA141" s="65">
        <f t="shared" si="212"/>
        <v>0.20008057263157891</v>
      </c>
      <c r="AB141" s="65">
        <f t="shared" si="213"/>
        <v>4.4017725978947347E-2</v>
      </c>
      <c r="AC141" s="65">
        <f t="shared" si="203"/>
        <v>0.81866478844415957</v>
      </c>
      <c r="AD141" s="65">
        <f t="shared" si="204"/>
        <v>0.1813351364712128</v>
      </c>
      <c r="AE141" s="65">
        <f t="shared" si="214"/>
        <v>0.95693699467768445</v>
      </c>
      <c r="AF141" s="65">
        <f t="shared" si="215"/>
        <v>4.3063005312586881E-2</v>
      </c>
      <c r="AG141" s="154">
        <f t="shared" si="205"/>
        <v>0.16379891966521787</v>
      </c>
      <c r="AH141" s="154">
        <f t="shared" si="216"/>
        <v>4.2122190410839713E-2</v>
      </c>
      <c r="AI141" s="154">
        <f t="shared" si="206"/>
        <v>1.6386490821525389E-2</v>
      </c>
      <c r="AJ141" s="154">
        <f t="shared" si="217"/>
        <v>9.2706151756869295E-4</v>
      </c>
      <c r="AK141" s="154">
        <f t="shared" si="207"/>
        <v>1.0928728223309708E-3</v>
      </c>
      <c r="AL141" s="154">
        <f t="shared" si="218"/>
        <v>1.3602379948655269E-5</v>
      </c>
      <c r="AM141" s="154">
        <f t="shared" si="208"/>
        <v>5.4665655026367605E-5</v>
      </c>
      <c r="AN141" s="154">
        <f t="shared" si="219"/>
        <v>1.4968645831035888E-7</v>
      </c>
      <c r="AO141" s="154">
        <f t="shared" si="209"/>
        <v>2.1875071121911963E-6</v>
      </c>
      <c r="AP141" s="154">
        <f t="shared" si="220"/>
        <v>1.3177715009329007E-9</v>
      </c>
    </row>
    <row r="142" spans="22:42" x14ac:dyDescent="0.3">
      <c r="V142" s="76"/>
      <c r="W142" s="62">
        <f t="shared" si="210"/>
        <v>588</v>
      </c>
      <c r="X142" s="63">
        <v>390</v>
      </c>
      <c r="Y142" s="86">
        <f t="shared" si="202"/>
        <v>0.47801987999999995</v>
      </c>
      <c r="Z142" s="65">
        <f t="shared" si="211"/>
        <v>0.2348167831578947</v>
      </c>
      <c r="AA142" s="65">
        <f t="shared" si="212"/>
        <v>0.2348167831578947</v>
      </c>
      <c r="AB142" s="65">
        <f t="shared" si="213"/>
        <v>5.1659692294736825E-2</v>
      </c>
      <c r="AC142" s="65">
        <f t="shared" si="203"/>
        <v>0.7907157087931791</v>
      </c>
      <c r="AD142" s="65">
        <f t="shared" si="204"/>
        <v>0.20928410074112982</v>
      </c>
      <c r="AE142" s="65">
        <f t="shared" si="214"/>
        <v>0.94965198574791321</v>
      </c>
      <c r="AF142" s="65">
        <f t="shared" si="215"/>
        <v>5.0348014226831279E-2</v>
      </c>
      <c r="AG142" s="154">
        <f t="shared" si="205"/>
        <v>0.18567331913122895</v>
      </c>
      <c r="AH142" s="154">
        <f t="shared" si="216"/>
        <v>4.9058729370823E-2</v>
      </c>
      <c r="AI142" s="154">
        <f t="shared" si="206"/>
        <v>2.1799605758322186E-2</v>
      </c>
      <c r="AJ142" s="154">
        <f t="shared" si="217"/>
        <v>1.2671794318337419E-3</v>
      </c>
      <c r="AK142" s="154">
        <f t="shared" si="207"/>
        <v>1.7063044327598443E-3</v>
      </c>
      <c r="AL142" s="154">
        <f t="shared" si="218"/>
        <v>2.1820699843583517E-5</v>
      </c>
      <c r="AM142" s="154">
        <f t="shared" si="208"/>
        <v>1.0016722949718073E-4</v>
      </c>
      <c r="AN142" s="154">
        <f t="shared" si="219"/>
        <v>2.8181265989383413E-7</v>
      </c>
      <c r="AO142" s="154">
        <f t="shared" si="209"/>
        <v>4.7041893216733127E-6</v>
      </c>
      <c r="AP142" s="154">
        <f t="shared" si="220"/>
        <v>2.9116710589753589E-9</v>
      </c>
    </row>
    <row r="143" spans="22:42" x14ac:dyDescent="0.3">
      <c r="V143" s="76"/>
      <c r="W143" s="62">
        <f t="shared" si="210"/>
        <v>588</v>
      </c>
      <c r="X143" s="63">
        <v>420</v>
      </c>
      <c r="Y143" s="86">
        <f t="shared" si="202"/>
        <v>0.55438991999999998</v>
      </c>
      <c r="Z143" s="65">
        <f t="shared" si="211"/>
        <v>0.27233189052631573</v>
      </c>
      <c r="AA143" s="65">
        <f t="shared" si="212"/>
        <v>0.27233189052631573</v>
      </c>
      <c r="AB143" s="65">
        <f t="shared" si="213"/>
        <v>5.9913015915789458E-2</v>
      </c>
      <c r="AC143" s="65">
        <f t="shared" si="203"/>
        <v>0.7616014508331338</v>
      </c>
      <c r="AD143" s="65">
        <f t="shared" si="204"/>
        <v>0.2383981002846548</v>
      </c>
      <c r="AE143" s="65">
        <f t="shared" si="214"/>
        <v>0.94184645567265179</v>
      </c>
      <c r="AF143" s="65">
        <f t="shared" si="215"/>
        <v>5.8153544266323798E-2</v>
      </c>
      <c r="AG143" s="154">
        <f t="shared" si="205"/>
        <v>0.20740836293297224</v>
      </c>
      <c r="AH143" s="154">
        <f t="shared" si="216"/>
        <v>5.6428861688945481E-2</v>
      </c>
      <c r="AI143" s="154">
        <f t="shared" si="206"/>
        <v>2.8241955794252274E-2</v>
      </c>
      <c r="AJ143" s="154">
        <f t="shared" si="217"/>
        <v>1.6904116442398361E-3</v>
      </c>
      <c r="AK143" s="154">
        <f t="shared" si="207"/>
        <v>2.5637284045364529E-3</v>
      </c>
      <c r="AL143" s="154">
        <f t="shared" si="218"/>
        <v>3.375921991519238E-5</v>
      </c>
      <c r="AM143" s="154">
        <f t="shared" si="208"/>
        <v>1.7454625080085681E-4</v>
      </c>
      <c r="AN143" s="154">
        <f t="shared" si="219"/>
        <v>5.0565417002088928E-7</v>
      </c>
      <c r="AO143" s="154">
        <f t="shared" si="209"/>
        <v>9.5069020929755583E-6</v>
      </c>
      <c r="AP143" s="154">
        <f t="shared" si="220"/>
        <v>6.0590532672693709E-9</v>
      </c>
    </row>
    <row r="144" spans="22:42" x14ac:dyDescent="0.3">
      <c r="V144" s="76"/>
      <c r="W144" s="62">
        <f t="shared" si="210"/>
        <v>588</v>
      </c>
      <c r="X144" s="63">
        <v>450</v>
      </c>
      <c r="Y144" s="86">
        <f t="shared" si="202"/>
        <v>0.63641700000000001</v>
      </c>
      <c r="Z144" s="65">
        <f t="shared" si="211"/>
        <v>0.3126258947368421</v>
      </c>
      <c r="AA144" s="65">
        <f t="shared" si="212"/>
        <v>0.3126258947368421</v>
      </c>
      <c r="AB144" s="65">
        <f t="shared" si="213"/>
        <v>6.8777696842105246E-2</v>
      </c>
      <c r="AC144" s="65">
        <f t="shared" si="203"/>
        <v>0.73152352818718802</v>
      </c>
      <c r="AD144" s="65">
        <f t="shared" si="204"/>
        <v>0.26847547921863057</v>
      </c>
      <c r="AE144" s="65">
        <f t="shared" si="214"/>
        <v>0.9335341846101326</v>
      </c>
      <c r="AF144" s="65">
        <f t="shared" si="215"/>
        <v>6.6465815251266408E-2</v>
      </c>
      <c r="AG144" s="154">
        <f t="shared" si="205"/>
        <v>0.22869319752057118</v>
      </c>
      <c r="AH144" s="154">
        <f t="shared" si="216"/>
        <v>6.4206331140857609E-2</v>
      </c>
      <c r="AI144" s="154">
        <f t="shared" si="206"/>
        <v>3.5747707747548964E-2</v>
      </c>
      <c r="AJ144" s="154">
        <f t="shared" si="217"/>
        <v>2.2079817892748633E-3</v>
      </c>
      <c r="AK144" s="154">
        <f t="shared" si="207"/>
        <v>3.7252197064562126E-3</v>
      </c>
      <c r="AL144" s="154">
        <f t="shared" si="218"/>
        <v>5.0619967378545221E-5</v>
      </c>
      <c r="AM144" s="154">
        <f t="shared" si="208"/>
        <v>2.9115003595554741E-4</v>
      </c>
      <c r="AN144" s="154">
        <f t="shared" si="219"/>
        <v>8.7038119262970994E-7</v>
      </c>
      <c r="AO144" s="154">
        <f t="shared" si="209"/>
        <v>1.8204208098653351E-5</v>
      </c>
      <c r="AP144" s="154">
        <f t="shared" si="220"/>
        <v>1.197256276075124E-8</v>
      </c>
    </row>
    <row r="145" spans="22:42" x14ac:dyDescent="0.3">
      <c r="V145" s="76"/>
      <c r="W145" s="62">
        <f t="shared" si="210"/>
        <v>588</v>
      </c>
      <c r="X145" s="63">
        <v>480</v>
      </c>
      <c r="Y145" s="86">
        <f t="shared" si="202"/>
        <v>0.72410112000000004</v>
      </c>
      <c r="Z145" s="65">
        <f t="shared" si="211"/>
        <v>0.35569879578947372</v>
      </c>
      <c r="AA145" s="65">
        <f t="shared" si="212"/>
        <v>0.35569879578947372</v>
      </c>
      <c r="AB145" s="65">
        <f t="shared" si="213"/>
        <v>7.8253735073684216E-2</v>
      </c>
      <c r="AC145" s="65">
        <f t="shared" si="203"/>
        <v>0.70068363731584682</v>
      </c>
      <c r="AD145" s="65">
        <f t="shared" si="204"/>
        <v>0.29931428690722678</v>
      </c>
      <c r="AE145" s="65">
        <f t="shared" si="214"/>
        <v>0.9247297603993897</v>
      </c>
      <c r="AF145" s="65">
        <f t="shared" si="215"/>
        <v>7.5270239302354949E-2</v>
      </c>
      <c r="AG145" s="154">
        <f t="shared" si="205"/>
        <v>0.24923232602263506</v>
      </c>
      <c r="AH145" s="154">
        <f t="shared" si="216"/>
        <v>7.2363557685045321E-2</v>
      </c>
      <c r="AI145" s="154">
        <f t="shared" si="206"/>
        <v>4.4325819119030406E-2</v>
      </c>
      <c r="AJ145" s="154">
        <f t="shared" si="217"/>
        <v>2.8313593360374009E-3</v>
      </c>
      <c r="AK145" s="154">
        <f t="shared" si="207"/>
        <v>5.255546827673715E-3</v>
      </c>
      <c r="AL145" s="154">
        <f t="shared" si="218"/>
        <v>7.3854814460224416E-5</v>
      </c>
      <c r="AM145" s="154">
        <f t="shared" si="208"/>
        <v>4.6734791945468238E-4</v>
      </c>
      <c r="AN145" s="154">
        <f t="shared" si="219"/>
        <v>1.4448537711716254E-6</v>
      </c>
      <c r="AO145" s="154">
        <f t="shared" si="209"/>
        <v>3.3247018432949295E-5</v>
      </c>
      <c r="AP145" s="154">
        <f t="shared" si="220"/>
        <v>2.2613040845895589E-8</v>
      </c>
    </row>
    <row r="146" spans="22:42" x14ac:dyDescent="0.3">
      <c r="V146" s="76"/>
      <c r="W146" s="62">
        <f t="shared" si="210"/>
        <v>588</v>
      </c>
      <c r="X146" s="63">
        <v>510</v>
      </c>
      <c r="Y146" s="86">
        <f t="shared" si="202"/>
        <v>0.81744227999999997</v>
      </c>
      <c r="Z146" s="65">
        <f t="shared" si="211"/>
        <v>0.40155059368421053</v>
      </c>
      <c r="AA146" s="65">
        <f t="shared" si="212"/>
        <v>0.40155059368421053</v>
      </c>
      <c r="AB146" s="65">
        <f t="shared" si="213"/>
        <v>8.8341130610526286E-2</v>
      </c>
      <c r="AC146" s="65">
        <f t="shared" si="203"/>
        <v>0.6692814574284176</v>
      </c>
      <c r="AD146" s="65">
        <f t="shared" si="204"/>
        <v>0.33071441039905675</v>
      </c>
      <c r="AE146" s="65">
        <f t="shared" si="214"/>
        <v>0.91544853593388398</v>
      </c>
      <c r="AF146" s="65">
        <f t="shared" si="215"/>
        <v>8.4551463454067222E-2</v>
      </c>
      <c r="AG146" s="154">
        <f t="shared" si="205"/>
        <v>0.26875036657221479</v>
      </c>
      <c r="AH146" s="154">
        <f t="shared" si="216"/>
        <v>8.0871758680150313E-2</v>
      </c>
      <c r="AI146" s="154">
        <f t="shared" si="206"/>
        <v>5.395843462496102E-2</v>
      </c>
      <c r="AJ146" s="154">
        <f t="shared" si="217"/>
        <v>3.5721512981330607E-3</v>
      </c>
      <c r="AK146" s="154">
        <f t="shared" si="207"/>
        <v>7.2223471526412534E-3</v>
      </c>
      <c r="AL146" s="154">
        <f t="shared" si="218"/>
        <v>1.0518929479631123E-4</v>
      </c>
      <c r="AM146" s="154">
        <f t="shared" si="208"/>
        <v>7.2503444673414073E-4</v>
      </c>
      <c r="AN146" s="154">
        <f t="shared" si="219"/>
        <v>2.3231353076075209E-6</v>
      </c>
      <c r="AO146" s="154">
        <f t="shared" si="209"/>
        <v>5.8227602505519465E-5</v>
      </c>
      <c r="AP146" s="154">
        <f t="shared" si="220"/>
        <v>4.1045679927056229E-8</v>
      </c>
    </row>
    <row r="147" spans="22:42" x14ac:dyDescent="0.3">
      <c r="W147" s="62">
        <f t="shared" si="210"/>
        <v>588</v>
      </c>
      <c r="X147" s="63">
        <v>540</v>
      </c>
      <c r="Y147" s="86">
        <f t="shared" si="202"/>
        <v>0.91644048</v>
      </c>
      <c r="Z147" s="65">
        <f>W147/(1197/$Y147)</f>
        <v>0.45018128842105259</v>
      </c>
      <c r="AA147" s="65">
        <f t="shared" si="212"/>
        <v>0.45018128842105259</v>
      </c>
      <c r="AB147" s="65">
        <f t="shared" si="213"/>
        <v>9.9039883452631539E-2</v>
      </c>
      <c r="AC147" s="65">
        <f t="shared" si="203"/>
        <v>0.63751256749829532</v>
      </c>
      <c r="AD147" s="65">
        <f t="shared" si="204"/>
        <v>0.36247956021346489</v>
      </c>
      <c r="AE147" s="65">
        <f t="shared" si="214"/>
        <v>0.90570658459752496</v>
      </c>
      <c r="AF147" s="65">
        <f>SUM(AH147,AJ147,AL147,AN147,AP147)</f>
        <v>9.4293414198290196E-2</v>
      </c>
      <c r="AG147" s="154">
        <f t="shared" si="205"/>
        <v>0.28699622902099586</v>
      </c>
      <c r="AH147" s="154">
        <f t="shared" si="216"/>
        <v>8.9701074580819842E-2</v>
      </c>
      <c r="AI147" s="154">
        <f t="shared" si="206"/>
        <v>6.4600166076327695E-2</v>
      </c>
      <c r="AJ147" s="154">
        <f t="shared" si="217"/>
        <v>4.4419919860301032E-3</v>
      </c>
      <c r="AK147" s="154">
        <f t="shared" si="207"/>
        <v>9.6939286654850586E-3</v>
      </c>
      <c r="AL147" s="154">
        <f t="shared" si="218"/>
        <v>1.4664478953131489E-4</v>
      </c>
      <c r="AM147" s="154">
        <f t="shared" si="208"/>
        <v>1.0910063241224598E-3</v>
      </c>
      <c r="AN147" s="154">
        <f t="shared" si="219"/>
        <v>3.6309207160292777E-6</v>
      </c>
      <c r="AO147" s="154">
        <f t="shared" si="209"/>
        <v>9.82301265337931E-5</v>
      </c>
      <c r="AP147" s="154">
        <f t="shared" si="220"/>
        <v>7.1921192908257026E-8</v>
      </c>
    </row>
    <row r="148" spans="22:42" x14ac:dyDescent="0.3">
      <c r="W148" s="62">
        <f t="shared" si="210"/>
        <v>588</v>
      </c>
      <c r="X148" s="63">
        <v>570</v>
      </c>
      <c r="Y148" s="86">
        <f t="shared" si="202"/>
        <v>1.0210957199999999</v>
      </c>
      <c r="Z148" s="65">
        <f>W148/(1197/$Y148)</f>
        <v>0.50159087999999996</v>
      </c>
      <c r="AA148" s="65">
        <f t="shared" si="212"/>
        <v>0.50159087999999996</v>
      </c>
      <c r="AB148" s="65">
        <f t="shared" si="213"/>
        <v>0.11034999359999997</v>
      </c>
      <c r="AC148" s="65">
        <f t="shared" si="203"/>
        <v>0.6055665093438265</v>
      </c>
      <c r="AD148" s="65">
        <f t="shared" si="204"/>
        <v>0.39441907263286863</v>
      </c>
      <c r="AE148" s="65">
        <f t="shared" si="214"/>
        <v>0.89552065394394653</v>
      </c>
      <c r="AF148" s="65">
        <f>SUM(AH148,AJ148,AL148,AN148,AP148)</f>
        <v>0.10447934377432462</v>
      </c>
      <c r="AG148" s="154">
        <f t="shared" si="205"/>
        <v>0.30374663832029813</v>
      </c>
      <c r="AH148" s="154">
        <f t="shared" si="216"/>
        <v>9.8820698431382289E-2</v>
      </c>
      <c r="AI148" s="154">
        <f t="shared" si="206"/>
        <v>7.617827180606003E-2</v>
      </c>
      <c r="AJ148" s="154">
        <f t="shared" si="217"/>
        <v>5.4524317197252817E-3</v>
      </c>
      <c r="AK148" s="154">
        <f t="shared" si="207"/>
        <v>1.2736775464026946E-2</v>
      </c>
      <c r="AL148" s="154">
        <f t="shared" si="218"/>
        <v>2.0055860179204056E-4</v>
      </c>
      <c r="AM148" s="154">
        <f t="shared" si="208"/>
        <v>1.5971626033409207E-3</v>
      </c>
      <c r="AN148" s="154">
        <f t="shared" si="219"/>
        <v>5.532910106044155E-6</v>
      </c>
      <c r="AO148" s="154">
        <f t="shared" si="209"/>
        <v>1.6022443914257266E-4</v>
      </c>
      <c r="AP148" s="154">
        <f t="shared" si="220"/>
        <v>1.2211131895826954E-7</v>
      </c>
    </row>
    <row r="149" spans="22:42" x14ac:dyDescent="0.3">
      <c r="W149" s="62">
        <f t="shared" si="210"/>
        <v>588</v>
      </c>
      <c r="X149" s="63">
        <v>600</v>
      </c>
      <c r="Y149" s="86">
        <f t="shared" si="202"/>
        <v>1.131408</v>
      </c>
      <c r="Z149" s="65">
        <f>W149/(1197/$Y149)</f>
        <v>0.55577936842105258</v>
      </c>
      <c r="AA149" s="65">
        <f t="shared" si="212"/>
        <v>0.55577936842105258</v>
      </c>
      <c r="AB149" s="65">
        <f t="shared" si="213"/>
        <v>0.12227146105263154</v>
      </c>
      <c r="AC149" s="65">
        <f t="shared" si="203"/>
        <v>0.57362502170946206</v>
      </c>
      <c r="AD149" s="65">
        <f t="shared" si="204"/>
        <v>0.42634949536285827</v>
      </c>
      <c r="AE149" s="65">
        <f t="shared" si="214"/>
        <v>0.88490811780560719</v>
      </c>
      <c r="AF149" s="65">
        <f>SUM(AH149,AJ149,AL149,AN149,AP149)</f>
        <v>0.1150918780146238</v>
      </c>
      <c r="AG149" s="154">
        <f t="shared" si="205"/>
        <v>0.31880895227619738</v>
      </c>
      <c r="AH149" s="154">
        <f t="shared" si="216"/>
        <v>0.10819900846142577</v>
      </c>
      <c r="AI149" s="154">
        <f t="shared" si="206"/>
        <v>8.8593719071521235E-2</v>
      </c>
      <c r="AJ149" s="154">
        <f t="shared" si="217"/>
        <v>6.614825424512286E-3</v>
      </c>
      <c r="AK149" s="154">
        <f t="shared" si="207"/>
        <v>1.6412853743880743E-2</v>
      </c>
      <c r="AL149" s="154">
        <f t="shared" si="218"/>
        <v>2.6960145642107027E-4</v>
      </c>
      <c r="AM149" s="154">
        <f t="shared" si="208"/>
        <v>2.2804813719402872E-3</v>
      </c>
      <c r="AN149" s="154">
        <f t="shared" si="219"/>
        <v>8.2411409946304077E-6</v>
      </c>
      <c r="AO149" s="154">
        <f t="shared" si="209"/>
        <v>2.5348889931858966E-4</v>
      </c>
      <c r="AP149" s="154">
        <f t="shared" si="220"/>
        <v>2.0153127003083942E-7</v>
      </c>
    </row>
    <row r="150" spans="22:42" x14ac:dyDescent="0.3">
      <c r="W150" s="62">
        <f t="shared" si="210"/>
        <v>588</v>
      </c>
      <c r="X150" s="63">
        <v>630</v>
      </c>
      <c r="Y150" s="86">
        <f t="shared" si="202"/>
        <v>1.2473773199999998</v>
      </c>
      <c r="Z150" s="65">
        <f>W150/(1197/$Y150)</f>
        <v>0.61274675368421039</v>
      </c>
      <c r="AA150" s="65">
        <f t="shared" si="212"/>
        <v>0.61274675368421039</v>
      </c>
      <c r="AB150" s="65">
        <f t="shared" si="213"/>
        <v>0.13480428581052628</v>
      </c>
      <c r="AC150" s="65">
        <f t="shared" si="203"/>
        <v>0.54186046589531034</v>
      </c>
      <c r="AD150" s="65">
        <f t="shared" si="204"/>
        <v>0.45809592807994443</v>
      </c>
      <c r="AE150" s="65">
        <f t="shared" si="214"/>
        <v>0.87388692702403881</v>
      </c>
      <c r="AF150" s="65">
        <f>SUM(AH150,AJ150,AL150,AN150,AP150)</f>
        <v>0.12611306554971549</v>
      </c>
      <c r="AG150" s="154">
        <f t="shared" si="205"/>
        <v>0.33202324142716522</v>
      </c>
      <c r="AH150" s="154">
        <f t="shared" si="216"/>
        <v>0.11780370307663104</v>
      </c>
      <c r="AI150" s="154">
        <f t="shared" si="206"/>
        <v>0.10172308166610217</v>
      </c>
      <c r="AJ150" s="154">
        <f t="shared" si="217"/>
        <v>7.9402220295402733E-3</v>
      </c>
      <c r="AK150" s="154">
        <f t="shared" si="207"/>
        <v>2.0776829355219305E-2</v>
      </c>
      <c r="AL150" s="154">
        <f t="shared" si="218"/>
        <v>3.5679198662306137E-4</v>
      </c>
      <c r="AM150" s="154">
        <f t="shared" si="208"/>
        <v>3.1827336848153586E-3</v>
      </c>
      <c r="AN150" s="154">
        <f t="shared" si="219"/>
        <v>1.2024272234910159E-5</v>
      </c>
      <c r="AO150" s="154">
        <f t="shared" si="209"/>
        <v>3.9004194664239911E-4</v>
      </c>
      <c r="AP150" s="154">
        <f t="shared" si="220"/>
        <v>3.2418468620368097E-7</v>
      </c>
    </row>
  </sheetData>
  <mergeCells count="20">
    <mergeCell ref="I2:P5"/>
    <mergeCell ref="A6:B6"/>
    <mergeCell ref="I6:P8"/>
    <mergeCell ref="AA7:AI13"/>
    <mergeCell ref="A9:B9"/>
    <mergeCell ref="A11:Q11"/>
    <mergeCell ref="P12:Q12"/>
    <mergeCell ref="P13:Q13"/>
    <mergeCell ref="V128:AO128"/>
    <mergeCell ref="A17:U17"/>
    <mergeCell ref="V17:AP17"/>
    <mergeCell ref="AQ17:BI17"/>
    <mergeCell ref="A42:U42"/>
    <mergeCell ref="V42:AP42"/>
    <mergeCell ref="AQ42:BI42"/>
    <mergeCell ref="A62:U62"/>
    <mergeCell ref="V62:AP62"/>
    <mergeCell ref="AQ62:BI62"/>
    <mergeCell ref="V87:AP87"/>
    <mergeCell ref="V108:AP108"/>
  </mergeCell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tabColor theme="1" tint="0.14999847407452621"/>
  </sheetPr>
  <dimension ref="A1:P33"/>
  <sheetViews>
    <sheetView workbookViewId="0">
      <selection sqref="A1:P33"/>
    </sheetView>
  </sheetViews>
  <sheetFormatPr defaultColWidth="9.21875" defaultRowHeight="13.8" x14ac:dyDescent="0.25"/>
  <cols>
    <col min="1" max="16384" width="9.21875" style="302"/>
  </cols>
  <sheetData>
    <row r="1" spans="1:16" x14ac:dyDescent="0.25">
      <c r="A1" s="1444" t="s">
        <v>422</v>
      </c>
      <c r="B1" s="1444"/>
      <c r="C1" s="1444"/>
      <c r="D1" s="1444"/>
      <c r="E1" s="1444"/>
      <c r="F1" s="1444"/>
      <c r="G1" s="1444"/>
      <c r="H1" s="1444"/>
      <c r="I1" s="1444"/>
      <c r="J1" s="1444"/>
      <c r="K1" s="1444"/>
      <c r="L1" s="1444"/>
      <c r="M1" s="1444"/>
      <c r="N1" s="1444"/>
      <c r="O1" s="1444"/>
      <c r="P1" s="1444"/>
    </row>
    <row r="2" spans="1:16" x14ac:dyDescent="0.25">
      <c r="A2" s="1444"/>
      <c r="B2" s="1444"/>
      <c r="C2" s="1444"/>
      <c r="D2" s="1444"/>
      <c r="E2" s="1444"/>
      <c r="F2" s="1444"/>
      <c r="G2" s="1444"/>
      <c r="H2" s="1444"/>
      <c r="I2" s="1444"/>
      <c r="J2" s="1444"/>
      <c r="K2" s="1444"/>
      <c r="L2" s="1444"/>
      <c r="M2" s="1444"/>
      <c r="N2" s="1444"/>
      <c r="O2" s="1444"/>
      <c r="P2" s="1444"/>
    </row>
    <row r="3" spans="1:16" x14ac:dyDescent="0.25">
      <c r="A3" s="1444"/>
      <c r="B3" s="1444"/>
      <c r="C3" s="1444"/>
      <c r="D3" s="1444"/>
      <c r="E3" s="1444"/>
      <c r="F3" s="1444"/>
      <c r="G3" s="1444"/>
      <c r="H3" s="1444"/>
      <c r="I3" s="1444"/>
      <c r="J3" s="1444"/>
      <c r="K3" s="1444"/>
      <c r="L3" s="1444"/>
      <c r="M3" s="1444"/>
      <c r="N3" s="1444"/>
      <c r="O3" s="1444"/>
      <c r="P3" s="1444"/>
    </row>
    <row r="4" spans="1:16" x14ac:dyDescent="0.25">
      <c r="A4" s="1444"/>
      <c r="B4" s="1444"/>
      <c r="C4" s="1444"/>
      <c r="D4" s="1444"/>
      <c r="E4" s="1444"/>
      <c r="F4" s="1444"/>
      <c r="G4" s="1444"/>
      <c r="H4" s="1444"/>
      <c r="I4" s="1444"/>
      <c r="J4" s="1444"/>
      <c r="K4" s="1444"/>
      <c r="L4" s="1444"/>
      <c r="M4" s="1444"/>
      <c r="N4" s="1444"/>
      <c r="O4" s="1444"/>
      <c r="P4" s="1444"/>
    </row>
    <row r="5" spans="1:16" x14ac:dyDescent="0.25">
      <c r="A5" s="1444"/>
      <c r="B5" s="1444"/>
      <c r="C5" s="1444"/>
      <c r="D5" s="1444"/>
      <c r="E5" s="1444"/>
      <c r="F5" s="1444"/>
      <c r="G5" s="1444"/>
      <c r="H5" s="1444"/>
      <c r="I5" s="1444"/>
      <c r="J5" s="1444"/>
      <c r="K5" s="1444"/>
      <c r="L5" s="1444"/>
      <c r="M5" s="1444"/>
      <c r="N5" s="1444"/>
      <c r="O5" s="1444"/>
      <c r="P5" s="1444"/>
    </row>
    <row r="6" spans="1:16" x14ac:dyDescent="0.25">
      <c r="A6" s="1444"/>
      <c r="B6" s="1444"/>
      <c r="C6" s="1444"/>
      <c r="D6" s="1444"/>
      <c r="E6" s="1444"/>
      <c r="F6" s="1444"/>
      <c r="G6" s="1444"/>
      <c r="H6" s="1444"/>
      <c r="I6" s="1444"/>
      <c r="J6" s="1444"/>
      <c r="K6" s="1444"/>
      <c r="L6" s="1444"/>
      <c r="M6" s="1444"/>
      <c r="N6" s="1444"/>
      <c r="O6" s="1444"/>
      <c r="P6" s="1444"/>
    </row>
    <row r="7" spans="1:16" x14ac:dyDescent="0.25">
      <c r="A7" s="1444"/>
      <c r="B7" s="1444"/>
      <c r="C7" s="1444"/>
      <c r="D7" s="1444"/>
      <c r="E7" s="1444"/>
      <c r="F7" s="1444"/>
      <c r="G7" s="1444"/>
      <c r="H7" s="1444"/>
      <c r="I7" s="1444"/>
      <c r="J7" s="1444"/>
      <c r="K7" s="1444"/>
      <c r="L7" s="1444"/>
      <c r="M7" s="1444"/>
      <c r="N7" s="1444"/>
      <c r="O7" s="1444"/>
      <c r="P7" s="1444"/>
    </row>
    <row r="8" spans="1:16" x14ac:dyDescent="0.25">
      <c r="A8" s="1444"/>
      <c r="B8" s="1444"/>
      <c r="C8" s="1444"/>
      <c r="D8" s="1444"/>
      <c r="E8" s="1444"/>
      <c r="F8" s="1444"/>
      <c r="G8" s="1444"/>
      <c r="H8" s="1444"/>
      <c r="I8" s="1444"/>
      <c r="J8" s="1444"/>
      <c r="K8" s="1444"/>
      <c r="L8" s="1444"/>
      <c r="M8" s="1444"/>
      <c r="N8" s="1444"/>
      <c r="O8" s="1444"/>
      <c r="P8" s="1444"/>
    </row>
    <row r="9" spans="1:16" x14ac:dyDescent="0.25">
      <c r="A9" s="1444"/>
      <c r="B9" s="1444"/>
      <c r="C9" s="1444"/>
      <c r="D9" s="1444"/>
      <c r="E9" s="1444"/>
      <c r="F9" s="1444"/>
      <c r="G9" s="1444"/>
      <c r="H9" s="1444"/>
      <c r="I9" s="1444"/>
      <c r="J9" s="1444"/>
      <c r="K9" s="1444"/>
      <c r="L9" s="1444"/>
      <c r="M9" s="1444"/>
      <c r="N9" s="1444"/>
      <c r="O9" s="1444"/>
      <c r="P9" s="1444"/>
    </row>
    <row r="10" spans="1:16" x14ac:dyDescent="0.25">
      <c r="A10" s="1444"/>
      <c r="B10" s="1444"/>
      <c r="C10" s="1444"/>
      <c r="D10" s="1444"/>
      <c r="E10" s="1444"/>
      <c r="F10" s="1444"/>
      <c r="G10" s="1444"/>
      <c r="H10" s="1444"/>
      <c r="I10" s="1444"/>
      <c r="J10" s="1444"/>
      <c r="K10" s="1444"/>
      <c r="L10" s="1444"/>
      <c r="M10" s="1444"/>
      <c r="N10" s="1444"/>
      <c r="O10" s="1444"/>
      <c r="P10" s="1444"/>
    </row>
    <row r="11" spans="1:16" x14ac:dyDescent="0.25">
      <c r="A11" s="1444"/>
      <c r="B11" s="1444"/>
      <c r="C11" s="1444"/>
      <c r="D11" s="1444"/>
      <c r="E11" s="1444"/>
      <c r="F11" s="1444"/>
      <c r="G11" s="1444"/>
      <c r="H11" s="1444"/>
      <c r="I11" s="1444"/>
      <c r="J11" s="1444"/>
      <c r="K11" s="1444"/>
      <c r="L11" s="1444"/>
      <c r="M11" s="1444"/>
      <c r="N11" s="1444"/>
      <c r="O11" s="1444"/>
      <c r="P11" s="1444"/>
    </row>
    <row r="12" spans="1:16" x14ac:dyDescent="0.25">
      <c r="A12" s="1444"/>
      <c r="B12" s="1444"/>
      <c r="C12" s="1444"/>
      <c r="D12" s="1444"/>
      <c r="E12" s="1444"/>
      <c r="F12" s="1444"/>
      <c r="G12" s="1444"/>
      <c r="H12" s="1444"/>
      <c r="I12" s="1444"/>
      <c r="J12" s="1444"/>
      <c r="K12" s="1444"/>
      <c r="L12" s="1444"/>
      <c r="M12" s="1444"/>
      <c r="N12" s="1444"/>
      <c r="O12" s="1444"/>
      <c r="P12" s="1444"/>
    </row>
    <row r="13" spans="1:16" x14ac:dyDescent="0.25">
      <c r="A13" s="1444"/>
      <c r="B13" s="1444"/>
      <c r="C13" s="1444"/>
      <c r="D13" s="1444"/>
      <c r="E13" s="1444"/>
      <c r="F13" s="1444"/>
      <c r="G13" s="1444"/>
      <c r="H13" s="1444"/>
      <c r="I13" s="1444"/>
      <c r="J13" s="1444"/>
      <c r="K13" s="1444"/>
      <c r="L13" s="1444"/>
      <c r="M13" s="1444"/>
      <c r="N13" s="1444"/>
      <c r="O13" s="1444"/>
      <c r="P13" s="1444"/>
    </row>
    <row r="14" spans="1:16" x14ac:dyDescent="0.25">
      <c r="A14" s="1444"/>
      <c r="B14" s="1444"/>
      <c r="C14" s="1444"/>
      <c r="D14" s="1444"/>
      <c r="E14" s="1444"/>
      <c r="F14" s="1444"/>
      <c r="G14" s="1444"/>
      <c r="H14" s="1444"/>
      <c r="I14" s="1444"/>
      <c r="J14" s="1444"/>
      <c r="K14" s="1444"/>
      <c r="L14" s="1444"/>
      <c r="M14" s="1444"/>
      <c r="N14" s="1444"/>
      <c r="O14" s="1444"/>
      <c r="P14" s="1444"/>
    </row>
    <row r="15" spans="1:16" x14ac:dyDescent="0.25">
      <c r="A15" s="1444"/>
      <c r="B15" s="1444"/>
      <c r="C15" s="1444"/>
      <c r="D15" s="1444"/>
      <c r="E15" s="1444"/>
      <c r="F15" s="1444"/>
      <c r="G15" s="1444"/>
      <c r="H15" s="1444"/>
      <c r="I15" s="1444"/>
      <c r="J15" s="1444"/>
      <c r="K15" s="1444"/>
      <c r="L15" s="1444"/>
      <c r="M15" s="1444"/>
      <c r="N15" s="1444"/>
      <c r="O15" s="1444"/>
      <c r="P15" s="1444"/>
    </row>
    <row r="16" spans="1:16" x14ac:dyDescent="0.25">
      <c r="A16" s="1444"/>
      <c r="B16" s="1444"/>
      <c r="C16" s="1444"/>
      <c r="D16" s="1444"/>
      <c r="E16" s="1444"/>
      <c r="F16" s="1444"/>
      <c r="G16" s="1444"/>
      <c r="H16" s="1444"/>
      <c r="I16" s="1444"/>
      <c r="J16" s="1444"/>
      <c r="K16" s="1444"/>
      <c r="L16" s="1444"/>
      <c r="M16" s="1444"/>
      <c r="N16" s="1444"/>
      <c r="O16" s="1444"/>
      <c r="P16" s="1444"/>
    </row>
    <row r="17" spans="1:16" x14ac:dyDescent="0.25">
      <c r="A17" s="1444"/>
      <c r="B17" s="1444"/>
      <c r="C17" s="1444"/>
      <c r="D17" s="1444"/>
      <c r="E17" s="1444"/>
      <c r="F17" s="1444"/>
      <c r="G17" s="1444"/>
      <c r="H17" s="1444"/>
      <c r="I17" s="1444"/>
      <c r="J17" s="1444"/>
      <c r="K17" s="1444"/>
      <c r="L17" s="1444"/>
      <c r="M17" s="1444"/>
      <c r="N17" s="1444"/>
      <c r="O17" s="1444"/>
      <c r="P17" s="1444"/>
    </row>
    <row r="18" spans="1:16" x14ac:dyDescent="0.25">
      <c r="A18" s="1444"/>
      <c r="B18" s="1444"/>
      <c r="C18" s="1444"/>
      <c r="D18" s="1444"/>
      <c r="E18" s="1444"/>
      <c r="F18" s="1444"/>
      <c r="G18" s="1444"/>
      <c r="H18" s="1444"/>
      <c r="I18" s="1444"/>
      <c r="J18" s="1444"/>
      <c r="K18" s="1444"/>
      <c r="L18" s="1444"/>
      <c r="M18" s="1444"/>
      <c r="N18" s="1444"/>
      <c r="O18" s="1444"/>
      <c r="P18" s="1444"/>
    </row>
    <row r="19" spans="1:16" x14ac:dyDescent="0.25">
      <c r="A19" s="1444"/>
      <c r="B19" s="1444"/>
      <c r="C19" s="1444"/>
      <c r="D19" s="1444"/>
      <c r="E19" s="1444"/>
      <c r="F19" s="1444"/>
      <c r="G19" s="1444"/>
      <c r="H19" s="1444"/>
      <c r="I19" s="1444"/>
      <c r="J19" s="1444"/>
      <c r="K19" s="1444"/>
      <c r="L19" s="1444"/>
      <c r="M19" s="1444"/>
      <c r="N19" s="1444"/>
      <c r="O19" s="1444"/>
      <c r="P19" s="1444"/>
    </row>
    <row r="20" spans="1:16" x14ac:dyDescent="0.25">
      <c r="A20" s="1444"/>
      <c r="B20" s="1444"/>
      <c r="C20" s="1444"/>
      <c r="D20" s="1444"/>
      <c r="E20" s="1444"/>
      <c r="F20" s="1444"/>
      <c r="G20" s="1444"/>
      <c r="H20" s="1444"/>
      <c r="I20" s="1444"/>
      <c r="J20" s="1444"/>
      <c r="K20" s="1444"/>
      <c r="L20" s="1444"/>
      <c r="M20" s="1444"/>
      <c r="N20" s="1444"/>
      <c r="O20" s="1444"/>
      <c r="P20" s="1444"/>
    </row>
    <row r="21" spans="1:16" x14ac:dyDescent="0.25">
      <c r="A21" s="1444"/>
      <c r="B21" s="1444"/>
      <c r="C21" s="1444"/>
      <c r="D21" s="1444"/>
      <c r="E21" s="1444"/>
      <c r="F21" s="1444"/>
      <c r="G21" s="1444"/>
      <c r="H21" s="1444"/>
      <c r="I21" s="1444"/>
      <c r="J21" s="1444"/>
      <c r="K21" s="1444"/>
      <c r="L21" s="1444"/>
      <c r="M21" s="1444"/>
      <c r="N21" s="1444"/>
      <c r="O21" s="1444"/>
      <c r="P21" s="1444"/>
    </row>
    <row r="22" spans="1:16" x14ac:dyDescent="0.25">
      <c r="A22" s="1444"/>
      <c r="B22" s="1444"/>
      <c r="C22" s="1444"/>
      <c r="D22" s="1444"/>
      <c r="E22" s="1444"/>
      <c r="F22" s="1444"/>
      <c r="G22" s="1444"/>
      <c r="H22" s="1444"/>
      <c r="I22" s="1444"/>
      <c r="J22" s="1444"/>
      <c r="K22" s="1444"/>
      <c r="L22" s="1444"/>
      <c r="M22" s="1444"/>
      <c r="N22" s="1444"/>
      <c r="O22" s="1444"/>
      <c r="P22" s="1444"/>
    </row>
    <row r="23" spans="1:16" x14ac:dyDescent="0.25">
      <c r="A23" s="1444"/>
      <c r="B23" s="1444"/>
      <c r="C23" s="1444"/>
      <c r="D23" s="1444"/>
      <c r="E23" s="1444"/>
      <c r="F23" s="1444"/>
      <c r="G23" s="1444"/>
      <c r="H23" s="1444"/>
      <c r="I23" s="1444"/>
      <c r="J23" s="1444"/>
      <c r="K23" s="1444"/>
      <c r="L23" s="1444"/>
      <c r="M23" s="1444"/>
      <c r="N23" s="1444"/>
      <c r="O23" s="1444"/>
      <c r="P23" s="1444"/>
    </row>
    <row r="24" spans="1:16" x14ac:dyDescent="0.25">
      <c r="A24" s="1444"/>
      <c r="B24" s="1444"/>
      <c r="C24" s="1444"/>
      <c r="D24" s="1444"/>
      <c r="E24" s="1444"/>
      <c r="F24" s="1444"/>
      <c r="G24" s="1444"/>
      <c r="H24" s="1444"/>
      <c r="I24" s="1444"/>
      <c r="J24" s="1444"/>
      <c r="K24" s="1444"/>
      <c r="L24" s="1444"/>
      <c r="M24" s="1444"/>
      <c r="N24" s="1444"/>
      <c r="O24" s="1444"/>
      <c r="P24" s="1444"/>
    </row>
    <row r="25" spans="1:16" x14ac:dyDescent="0.25">
      <c r="A25" s="1444"/>
      <c r="B25" s="1444"/>
      <c r="C25" s="1444"/>
      <c r="D25" s="1444"/>
      <c r="E25" s="1444"/>
      <c r="F25" s="1444"/>
      <c r="G25" s="1444"/>
      <c r="H25" s="1444"/>
      <c r="I25" s="1444"/>
      <c r="J25" s="1444"/>
      <c r="K25" s="1444"/>
      <c r="L25" s="1444"/>
      <c r="M25" s="1444"/>
      <c r="N25" s="1444"/>
      <c r="O25" s="1444"/>
      <c r="P25" s="1444"/>
    </row>
    <row r="26" spans="1:16" x14ac:dyDescent="0.25">
      <c r="A26" s="1444"/>
      <c r="B26" s="1444"/>
      <c r="C26" s="1444"/>
      <c r="D26" s="1444"/>
      <c r="E26" s="1444"/>
      <c r="F26" s="1444"/>
      <c r="G26" s="1444"/>
      <c r="H26" s="1444"/>
      <c r="I26" s="1444"/>
      <c r="J26" s="1444"/>
      <c r="K26" s="1444"/>
      <c r="L26" s="1444"/>
      <c r="M26" s="1444"/>
      <c r="N26" s="1444"/>
      <c r="O26" s="1444"/>
      <c r="P26" s="1444"/>
    </row>
    <row r="27" spans="1:16" x14ac:dyDescent="0.25">
      <c r="A27" s="1444"/>
      <c r="B27" s="1444"/>
      <c r="C27" s="1444"/>
      <c r="D27" s="1444"/>
      <c r="E27" s="1444"/>
      <c r="F27" s="1444"/>
      <c r="G27" s="1444"/>
      <c r="H27" s="1444"/>
      <c r="I27" s="1444"/>
      <c r="J27" s="1444"/>
      <c r="K27" s="1444"/>
      <c r="L27" s="1444"/>
      <c r="M27" s="1444"/>
      <c r="N27" s="1444"/>
      <c r="O27" s="1444"/>
      <c r="P27" s="1444"/>
    </row>
    <row r="28" spans="1:16" x14ac:dyDescent="0.25">
      <c r="A28" s="1444"/>
      <c r="B28" s="1444"/>
      <c r="C28" s="1444"/>
      <c r="D28" s="1444"/>
      <c r="E28" s="1444"/>
      <c r="F28" s="1444"/>
      <c r="G28" s="1444"/>
      <c r="H28" s="1444"/>
      <c r="I28" s="1444"/>
      <c r="J28" s="1444"/>
      <c r="K28" s="1444"/>
      <c r="L28" s="1444"/>
      <c r="M28" s="1444"/>
      <c r="N28" s="1444"/>
      <c r="O28" s="1444"/>
      <c r="P28" s="1444"/>
    </row>
    <row r="29" spans="1:16" x14ac:dyDescent="0.25">
      <c r="A29" s="1444"/>
      <c r="B29" s="1444"/>
      <c r="C29" s="1444"/>
      <c r="D29" s="1444"/>
      <c r="E29" s="1444"/>
      <c r="F29" s="1444"/>
      <c r="G29" s="1444"/>
      <c r="H29" s="1444"/>
      <c r="I29" s="1444"/>
      <c r="J29" s="1444"/>
      <c r="K29" s="1444"/>
      <c r="L29" s="1444"/>
      <c r="M29" s="1444"/>
      <c r="N29" s="1444"/>
      <c r="O29" s="1444"/>
      <c r="P29" s="1444"/>
    </row>
    <row r="30" spans="1:16" x14ac:dyDescent="0.25">
      <c r="A30" s="1444"/>
      <c r="B30" s="1444"/>
      <c r="C30" s="1444"/>
      <c r="D30" s="1444"/>
      <c r="E30" s="1444"/>
      <c r="F30" s="1444"/>
      <c r="G30" s="1444"/>
      <c r="H30" s="1444"/>
      <c r="I30" s="1444"/>
      <c r="J30" s="1444"/>
      <c r="K30" s="1444"/>
      <c r="L30" s="1444"/>
      <c r="M30" s="1444"/>
      <c r="N30" s="1444"/>
      <c r="O30" s="1444"/>
      <c r="P30" s="1444"/>
    </row>
    <row r="31" spans="1:16" x14ac:dyDescent="0.25">
      <c r="A31" s="1444"/>
      <c r="B31" s="1444"/>
      <c r="C31" s="1444"/>
      <c r="D31" s="1444"/>
      <c r="E31" s="1444"/>
      <c r="F31" s="1444"/>
      <c r="G31" s="1444"/>
      <c r="H31" s="1444"/>
      <c r="I31" s="1444"/>
      <c r="J31" s="1444"/>
      <c r="K31" s="1444"/>
      <c r="L31" s="1444"/>
      <c r="M31" s="1444"/>
      <c r="N31" s="1444"/>
      <c r="O31" s="1444"/>
      <c r="P31" s="1444"/>
    </row>
    <row r="32" spans="1:16" x14ac:dyDescent="0.25">
      <c r="A32" s="1444"/>
      <c r="B32" s="1444"/>
      <c r="C32" s="1444"/>
      <c r="D32" s="1444"/>
      <c r="E32" s="1444"/>
      <c r="F32" s="1444"/>
      <c r="G32" s="1444"/>
      <c r="H32" s="1444"/>
      <c r="I32" s="1444"/>
      <c r="J32" s="1444"/>
      <c r="K32" s="1444"/>
      <c r="L32" s="1444"/>
      <c r="M32" s="1444"/>
      <c r="N32" s="1444"/>
      <c r="O32" s="1444"/>
      <c r="P32" s="1444"/>
    </row>
    <row r="33" spans="1:16" x14ac:dyDescent="0.25">
      <c r="A33" s="1444"/>
      <c r="B33" s="1444"/>
      <c r="C33" s="1444"/>
      <c r="D33" s="1444"/>
      <c r="E33" s="1444"/>
      <c r="F33" s="1444"/>
      <c r="G33" s="1444"/>
      <c r="H33" s="1444"/>
      <c r="I33" s="1444"/>
      <c r="J33" s="1444"/>
      <c r="K33" s="1444"/>
      <c r="L33" s="1444"/>
      <c r="M33" s="1444"/>
      <c r="N33" s="1444"/>
      <c r="O33" s="1444"/>
      <c r="P33" s="1444"/>
    </row>
  </sheetData>
  <mergeCells count="1">
    <mergeCell ref="A1:P33"/>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1">
    <tabColor theme="1" tint="0.14999847407452621"/>
  </sheetPr>
  <dimension ref="A1:CC63"/>
  <sheetViews>
    <sheetView topLeftCell="A48" zoomScale="70" zoomScaleNormal="70" workbookViewId="0">
      <pane xSplit="1" topLeftCell="B1" activePane="topRight" state="frozen"/>
      <selection pane="topRight" activeCell="B1" sqref="B1"/>
    </sheetView>
  </sheetViews>
  <sheetFormatPr defaultColWidth="9.21875" defaultRowHeight="13.8" x14ac:dyDescent="0.25"/>
  <cols>
    <col min="1" max="1" width="11.5546875" style="470" bestFit="1" customWidth="1"/>
    <col min="2" max="2" width="14.44140625" style="470" customWidth="1"/>
    <col min="3" max="3" width="15.77734375" style="470" customWidth="1"/>
    <col min="4" max="4" width="11" style="470" customWidth="1"/>
    <col min="5" max="5" width="14" style="470" bestFit="1" customWidth="1"/>
    <col min="6" max="6" width="14" style="470" customWidth="1"/>
    <col min="7" max="7" width="12.5546875" style="470" customWidth="1"/>
    <col min="8" max="8" width="14.44140625" style="470" customWidth="1"/>
    <col min="9" max="9" width="9.44140625" style="470" customWidth="1"/>
    <col min="10" max="10" width="14" style="470" customWidth="1"/>
    <col min="11" max="11" width="13.77734375" style="470" customWidth="1"/>
    <col min="12" max="12" width="10.21875" style="470" customWidth="1"/>
    <col min="13" max="13" width="8.44140625" style="470" customWidth="1"/>
    <col min="14" max="14" width="14.21875" style="470" customWidth="1"/>
    <col min="15" max="15" width="8.44140625" style="470" customWidth="1"/>
    <col min="16" max="16" width="14" style="470" customWidth="1"/>
    <col min="17" max="17" width="10" style="470" customWidth="1"/>
    <col min="18" max="18" width="14.77734375" style="470" customWidth="1"/>
    <col min="19" max="19" width="15.77734375" style="470" customWidth="1"/>
    <col min="20" max="20" width="10.5546875" style="470" customWidth="1"/>
    <col min="21" max="21" width="8.5546875" style="470" customWidth="1"/>
    <col min="22" max="22" width="14.21875" style="470" customWidth="1"/>
    <col min="23" max="23" width="10.5546875" style="470" customWidth="1"/>
    <col min="24" max="24" width="14" style="470" customWidth="1"/>
    <col min="25" max="25" width="14.77734375" style="470" customWidth="1"/>
    <col min="26" max="26" width="15.5546875" style="470" customWidth="1"/>
    <col min="27" max="27" width="13.5546875" style="470" customWidth="1"/>
    <col min="28" max="28" width="11.21875" style="470" customWidth="1"/>
    <col min="29" max="29" width="9" style="470" customWidth="1"/>
    <col min="30" max="30" width="13.5546875" style="470" customWidth="1"/>
    <col min="31" max="31" width="12.21875" style="470" customWidth="1"/>
    <col min="32" max="32" width="14.21875" style="470" customWidth="1"/>
    <col min="33" max="33" width="14.44140625" style="470" customWidth="1"/>
    <col min="34" max="34" width="11.21875" style="470" customWidth="1"/>
    <col min="35" max="35" width="12.44140625" style="470" bestFit="1" customWidth="1"/>
    <col min="36" max="36" width="14" style="470" customWidth="1"/>
    <col min="37" max="37" width="12.44140625" style="470" bestFit="1" customWidth="1"/>
    <col min="38" max="38" width="14.44140625" style="470" customWidth="1"/>
    <col min="39" max="39" width="11.21875" style="470" bestFit="1" customWidth="1"/>
    <col min="40" max="40" width="15.77734375" style="470" customWidth="1"/>
    <col min="41" max="41" width="10.77734375" style="470" customWidth="1"/>
    <col min="42" max="42" width="11.44140625" style="470" bestFit="1" customWidth="1"/>
    <col min="43" max="43" width="15.5546875" style="470" customWidth="1"/>
    <col min="44" max="44" width="14.77734375" style="470" bestFit="1" customWidth="1"/>
    <col min="45" max="45" width="11.77734375" style="470" customWidth="1"/>
    <col min="46" max="46" width="15.21875" style="470" customWidth="1"/>
    <col min="47" max="47" width="11.44140625" style="470" bestFit="1" customWidth="1"/>
    <col min="48" max="48" width="15.21875" style="470" customWidth="1"/>
    <col min="49" max="49" width="9.5546875" style="470" customWidth="1"/>
    <col min="50" max="50" width="10.21875" style="470" customWidth="1"/>
    <col min="51" max="51" width="15" style="470" customWidth="1"/>
    <col min="52" max="52" width="12.44140625" style="470" customWidth="1"/>
    <col min="53" max="53" width="10.77734375" style="470" bestFit="1" customWidth="1"/>
    <col min="54" max="54" width="15.77734375" style="470" customWidth="1"/>
    <col min="55" max="55" width="12.77734375" style="470" customWidth="1"/>
    <col min="56" max="56" width="14.5546875" style="470" customWidth="1"/>
    <col min="57" max="57" width="15.5546875" style="470" customWidth="1"/>
    <col min="58" max="58" width="12.21875" style="470" customWidth="1"/>
    <col min="59" max="59" width="10.77734375" style="470" customWidth="1"/>
    <col min="60" max="60" width="10.21875" style="470" customWidth="1"/>
    <col min="61" max="61" width="11.21875" style="470" bestFit="1" customWidth="1"/>
    <col min="62" max="62" width="12.21875" style="470" bestFit="1" customWidth="1"/>
    <col min="63" max="63" width="10.77734375" style="470" bestFit="1" customWidth="1"/>
    <col min="64" max="64" width="13.44140625" style="470" customWidth="1"/>
    <col min="65" max="65" width="14.5546875" style="470" bestFit="1" customWidth="1"/>
    <col min="66" max="66" width="9.21875" style="470" customWidth="1"/>
    <col min="67" max="67" width="12.21875" style="470" bestFit="1" customWidth="1"/>
    <col min="68" max="68" width="11.21875" style="470" bestFit="1" customWidth="1"/>
    <col min="69" max="69" width="16.77734375" style="470" customWidth="1"/>
    <col min="70" max="70" width="14.5546875" style="470" bestFit="1" customWidth="1"/>
    <col min="71" max="72" width="12.21875" style="470" bestFit="1" customWidth="1"/>
    <col min="73" max="74" width="11.21875" style="470" bestFit="1" customWidth="1"/>
    <col min="75" max="75" width="14.5546875" style="470" bestFit="1" customWidth="1"/>
    <col min="76" max="76" width="10" style="470" bestFit="1" customWidth="1"/>
    <col min="77" max="16384" width="9.21875" style="470"/>
  </cols>
  <sheetData>
    <row r="1" spans="1:74" ht="15.6" x14ac:dyDescent="0.3">
      <c r="A1" s="878"/>
      <c r="B1" s="878"/>
      <c r="C1" s="879" t="s">
        <v>41</v>
      </c>
      <c r="D1" s="879" t="s">
        <v>42</v>
      </c>
    </row>
    <row r="2" spans="1:74" ht="15.6" x14ac:dyDescent="0.3">
      <c r="A2" s="1456" t="s">
        <v>43</v>
      </c>
      <c r="B2" s="1456"/>
      <c r="C2" s="918">
        <v>44986</v>
      </c>
      <c r="D2" s="878" t="s">
        <v>44</v>
      </c>
    </row>
    <row r="3" spans="1:74" s="640" customFormat="1" ht="14.4" thickBot="1" x14ac:dyDescent="0.3"/>
    <row r="4" spans="1:74" x14ac:dyDescent="0.25">
      <c r="A4" s="471"/>
      <c r="B4" s="1459" t="s">
        <v>469</v>
      </c>
      <c r="C4" s="1460"/>
      <c r="D4" s="1460"/>
      <c r="E4" s="1460"/>
      <c r="F4" s="1460"/>
      <c r="G4" s="1460"/>
      <c r="H4" s="994"/>
      <c r="I4" s="472"/>
      <c r="J4" s="565" t="s">
        <v>470</v>
      </c>
      <c r="K4" s="566"/>
      <c r="L4" s="566"/>
      <c r="M4" s="567"/>
      <c r="N4" s="567"/>
      <c r="O4" s="567"/>
      <c r="P4" s="567"/>
      <c r="Q4" s="567"/>
      <c r="R4" s="567"/>
      <c r="S4" s="567"/>
      <c r="T4" s="568"/>
      <c r="U4" s="571" t="s">
        <v>471</v>
      </c>
      <c r="V4" s="572"/>
      <c r="W4" s="572"/>
      <c r="X4" s="572"/>
      <c r="Y4" s="572"/>
      <c r="Z4" s="572"/>
      <c r="AA4" s="572"/>
      <c r="AB4" s="572"/>
      <c r="AC4" s="572"/>
      <c r="AD4" s="572"/>
      <c r="AE4" s="573"/>
      <c r="AF4" s="576" t="s">
        <v>472</v>
      </c>
      <c r="AG4" s="577"/>
      <c r="AH4" s="577"/>
      <c r="AI4" s="577"/>
      <c r="AJ4" s="577"/>
      <c r="AK4" s="577"/>
      <c r="AL4" s="577"/>
      <c r="AM4" s="577"/>
      <c r="AN4" s="577"/>
      <c r="AO4" s="577"/>
      <c r="AP4" s="578"/>
      <c r="AQ4" s="581" t="s">
        <v>473</v>
      </c>
      <c r="AR4" s="582"/>
      <c r="AS4" s="582"/>
      <c r="AT4" s="582"/>
      <c r="AU4" s="582"/>
      <c r="AV4" s="582"/>
      <c r="AW4" s="582"/>
      <c r="AX4" s="582"/>
      <c r="AY4" s="583"/>
      <c r="AZ4" s="571" t="s">
        <v>474</v>
      </c>
      <c r="BA4" s="572"/>
      <c r="BB4" s="572"/>
      <c r="BC4" s="572"/>
      <c r="BD4" s="572"/>
      <c r="BE4" s="572"/>
      <c r="BF4" s="572"/>
      <c r="BG4" s="572"/>
      <c r="BH4" s="573"/>
      <c r="BI4" s="589" t="s">
        <v>475</v>
      </c>
      <c r="BJ4" s="590"/>
      <c r="BK4" s="590"/>
      <c r="BL4" s="590"/>
      <c r="BM4" s="590"/>
      <c r="BN4" s="590"/>
      <c r="BO4" s="590"/>
      <c r="BP4" s="590"/>
      <c r="BQ4" s="591"/>
      <c r="BR4" s="1476"/>
      <c r="BS4" s="1476"/>
      <c r="BT4" s="1476"/>
      <c r="BU4" s="1476"/>
      <c r="BV4" s="1476"/>
    </row>
    <row r="5" spans="1:74" s="483" customFormat="1" ht="69" x14ac:dyDescent="0.25">
      <c r="A5" s="473" t="s">
        <v>476</v>
      </c>
      <c r="B5" s="474" t="s">
        <v>477</v>
      </c>
      <c r="C5" s="475" t="s">
        <v>478</v>
      </c>
      <c r="D5" s="475" t="s">
        <v>348</v>
      </c>
      <c r="E5" s="475" t="s">
        <v>479</v>
      </c>
      <c r="F5" s="475" t="s">
        <v>480</v>
      </c>
      <c r="G5" s="475" t="s">
        <v>481</v>
      </c>
      <c r="H5" s="475" t="s">
        <v>482</v>
      </c>
      <c r="I5" s="476" t="s">
        <v>483</v>
      </c>
      <c r="J5" s="530" t="s">
        <v>477</v>
      </c>
      <c r="K5" s="477" t="s">
        <v>478</v>
      </c>
      <c r="L5" s="477" t="s">
        <v>348</v>
      </c>
      <c r="M5" s="477" t="s">
        <v>479</v>
      </c>
      <c r="N5" s="477" t="s">
        <v>484</v>
      </c>
      <c r="O5" s="477" t="s">
        <v>481</v>
      </c>
      <c r="P5" s="477" t="s">
        <v>482</v>
      </c>
      <c r="Q5" s="477" t="s">
        <v>483</v>
      </c>
      <c r="R5" s="477" t="s">
        <v>485</v>
      </c>
      <c r="S5" s="477" t="s">
        <v>486</v>
      </c>
      <c r="T5" s="533" t="s">
        <v>487</v>
      </c>
      <c r="U5" s="526" t="s">
        <v>488</v>
      </c>
      <c r="V5" s="478" t="s">
        <v>478</v>
      </c>
      <c r="W5" s="478" t="s">
        <v>348</v>
      </c>
      <c r="X5" s="478" t="s">
        <v>479</v>
      </c>
      <c r="Y5" s="478" t="s">
        <v>484</v>
      </c>
      <c r="Z5" s="478" t="s">
        <v>481</v>
      </c>
      <c r="AA5" s="478" t="s">
        <v>482</v>
      </c>
      <c r="AB5" s="478" t="s">
        <v>483</v>
      </c>
      <c r="AC5" s="478" t="s">
        <v>485</v>
      </c>
      <c r="AD5" s="478" t="s">
        <v>486</v>
      </c>
      <c r="AE5" s="574" t="s">
        <v>487</v>
      </c>
      <c r="AF5" s="527" t="s">
        <v>488</v>
      </c>
      <c r="AG5" s="479" t="s">
        <v>478</v>
      </c>
      <c r="AH5" s="479" t="s">
        <v>348</v>
      </c>
      <c r="AI5" s="479" t="s">
        <v>479</v>
      </c>
      <c r="AJ5" s="479" t="s">
        <v>489</v>
      </c>
      <c r="AK5" s="479" t="s">
        <v>481</v>
      </c>
      <c r="AL5" s="479" t="s">
        <v>482</v>
      </c>
      <c r="AM5" s="479" t="s">
        <v>483</v>
      </c>
      <c r="AN5" s="479" t="s">
        <v>485</v>
      </c>
      <c r="AO5" s="479" t="s">
        <v>486</v>
      </c>
      <c r="AP5" s="579" t="s">
        <v>487</v>
      </c>
      <c r="AQ5" s="584" t="s">
        <v>488</v>
      </c>
      <c r="AR5" s="480" t="s">
        <v>478</v>
      </c>
      <c r="AS5" s="480" t="s">
        <v>348</v>
      </c>
      <c r="AT5" s="480" t="s">
        <v>479</v>
      </c>
      <c r="AU5" s="480" t="s">
        <v>481</v>
      </c>
      <c r="AV5" s="480" t="s">
        <v>483</v>
      </c>
      <c r="AW5" s="480" t="s">
        <v>485</v>
      </c>
      <c r="AX5" s="480" t="s">
        <v>486</v>
      </c>
      <c r="AY5" s="585" t="s">
        <v>487</v>
      </c>
      <c r="AZ5" s="526" t="s">
        <v>488</v>
      </c>
      <c r="BA5" s="478" t="s">
        <v>478</v>
      </c>
      <c r="BB5" s="478" t="s">
        <v>348</v>
      </c>
      <c r="BC5" s="478" t="s">
        <v>479</v>
      </c>
      <c r="BD5" s="478" t="s">
        <v>481</v>
      </c>
      <c r="BE5" s="478" t="s">
        <v>483</v>
      </c>
      <c r="BF5" s="478" t="s">
        <v>485</v>
      </c>
      <c r="BG5" s="478" t="s">
        <v>486</v>
      </c>
      <c r="BH5" s="574" t="s">
        <v>487</v>
      </c>
      <c r="BI5" s="587" t="s">
        <v>490</v>
      </c>
      <c r="BJ5" s="481" t="s">
        <v>491</v>
      </c>
      <c r="BK5" s="481" t="s">
        <v>348</v>
      </c>
      <c r="BL5" s="481"/>
      <c r="BM5" s="481"/>
      <c r="BN5" s="481"/>
      <c r="BO5" s="481" t="s">
        <v>492</v>
      </c>
      <c r="BP5" s="481" t="s">
        <v>277</v>
      </c>
      <c r="BQ5" s="588" t="s">
        <v>278</v>
      </c>
      <c r="BR5" s="482"/>
      <c r="BS5" s="482"/>
      <c r="BT5" s="482"/>
      <c r="BU5" s="482"/>
      <c r="BV5" s="482"/>
    </row>
    <row r="6" spans="1:74" x14ac:dyDescent="0.25">
      <c r="A6" s="932">
        <v>2001</v>
      </c>
      <c r="B6" s="484">
        <v>2.5310000000000001</v>
      </c>
      <c r="C6" s="485">
        <v>9.9</v>
      </c>
      <c r="D6" s="485">
        <v>22300</v>
      </c>
      <c r="E6" s="486">
        <v>18000</v>
      </c>
      <c r="F6" s="487">
        <f>E6/I6</f>
        <v>2.0394289598912305</v>
      </c>
      <c r="G6" s="486">
        <v>26700</v>
      </c>
      <c r="H6" s="487">
        <f>G6/I6</f>
        <v>3.0251529571719917</v>
      </c>
      <c r="I6" s="488">
        <v>8826</v>
      </c>
      <c r="J6" s="569">
        <v>2.5529999999999999</v>
      </c>
      <c r="K6" s="489">
        <v>18</v>
      </c>
      <c r="L6" s="490">
        <v>8936</v>
      </c>
      <c r="M6" s="490">
        <v>5740</v>
      </c>
      <c r="N6" s="491">
        <f>M6/Q6</f>
        <v>1.6395315624107398</v>
      </c>
      <c r="O6" s="490">
        <v>11896</v>
      </c>
      <c r="P6" s="491">
        <f>O6/Q6</f>
        <v>3.3978863181948014</v>
      </c>
      <c r="Q6" s="490">
        <v>3501</v>
      </c>
      <c r="R6" s="492">
        <v>1.3299999999999999E-2</v>
      </c>
      <c r="S6" s="492">
        <v>1.5940000000000001</v>
      </c>
      <c r="T6" s="570">
        <v>142</v>
      </c>
      <c r="U6" s="493">
        <v>1.2410000000000001</v>
      </c>
      <c r="V6" s="494">
        <v>35.299999999999997</v>
      </c>
      <c r="W6" s="495">
        <v>2094</v>
      </c>
      <c r="X6" s="495">
        <v>791</v>
      </c>
      <c r="Y6" s="496">
        <f>X6/AB6</f>
        <v>0.46860189573459715</v>
      </c>
      <c r="Z6" s="495">
        <v>3555</v>
      </c>
      <c r="AA6" s="496">
        <f>Z6/AB6</f>
        <v>2.1060426540284358</v>
      </c>
      <c r="AB6" s="495">
        <v>1688</v>
      </c>
      <c r="AC6" s="497">
        <v>1.47E-2</v>
      </c>
      <c r="AD6" s="498">
        <v>1.4470000000000001</v>
      </c>
      <c r="AE6" s="575">
        <v>85</v>
      </c>
      <c r="AF6" s="996">
        <v>4.6360000000000001</v>
      </c>
      <c r="AG6" s="499">
        <v>13.2</v>
      </c>
      <c r="AH6" s="500">
        <v>7396</v>
      </c>
      <c r="AI6" s="500">
        <v>5230</v>
      </c>
      <c r="AJ6" s="501">
        <f>AI6/AM6</f>
        <v>3.2789968652037618</v>
      </c>
      <c r="AK6" s="500">
        <v>9075</v>
      </c>
      <c r="AL6" s="501">
        <f>AK6/AM6</f>
        <v>5.6896551724137927</v>
      </c>
      <c r="AM6" s="500">
        <v>1595</v>
      </c>
      <c r="AN6" s="502">
        <v>1.66E-2</v>
      </c>
      <c r="AO6" s="501">
        <v>1.7350000000000001</v>
      </c>
      <c r="AP6" s="580">
        <v>140</v>
      </c>
      <c r="AQ6" s="503">
        <v>3.286</v>
      </c>
      <c r="AR6" s="504">
        <v>22.1</v>
      </c>
      <c r="AS6" s="505">
        <v>3809</v>
      </c>
      <c r="AT6" s="505">
        <v>3020</v>
      </c>
      <c r="AU6" s="505">
        <v>6238</v>
      </c>
      <c r="AV6" s="505">
        <v>1159.1500000000001</v>
      </c>
      <c r="AW6" s="506">
        <v>1.01E-2</v>
      </c>
      <c r="AX6" s="507">
        <v>1.7490000000000001</v>
      </c>
      <c r="AY6" s="586">
        <v>170</v>
      </c>
      <c r="AZ6" s="493">
        <v>0.115</v>
      </c>
      <c r="BA6" s="494">
        <v>39.5</v>
      </c>
      <c r="BB6" s="495">
        <v>102</v>
      </c>
      <c r="BC6" s="495">
        <v>11</v>
      </c>
      <c r="BD6" s="495">
        <v>177</v>
      </c>
      <c r="BE6" s="495">
        <v>883</v>
      </c>
      <c r="BF6" s="497">
        <v>1.01E-2</v>
      </c>
      <c r="BG6" s="496">
        <v>1.7490000000000001</v>
      </c>
      <c r="BH6" s="575">
        <v>170</v>
      </c>
      <c r="BI6" s="592"/>
      <c r="BJ6" s="593"/>
      <c r="BK6" s="594">
        <v>661</v>
      </c>
      <c r="BL6" s="594"/>
      <c r="BM6" s="594"/>
      <c r="BN6" s="594"/>
      <c r="BO6" s="594"/>
      <c r="BP6" s="594">
        <v>556</v>
      </c>
      <c r="BQ6" s="595">
        <v>786</v>
      </c>
      <c r="BR6" s="508"/>
      <c r="BS6" s="508"/>
      <c r="BT6" s="508"/>
      <c r="BU6" s="508"/>
      <c r="BV6" s="508"/>
    </row>
    <row r="7" spans="1:74" x14ac:dyDescent="0.25">
      <c r="A7" s="932">
        <v>2002</v>
      </c>
      <c r="B7" s="484">
        <v>2.581</v>
      </c>
      <c r="C7" s="485">
        <v>11.8</v>
      </c>
      <c r="D7" s="485">
        <v>22700</v>
      </c>
      <c r="E7" s="486">
        <v>17400</v>
      </c>
      <c r="F7" s="487">
        <f t="shared" ref="F7:F24" si="0">E7/I7</f>
        <v>1.9799726900318617</v>
      </c>
      <c r="G7" s="486">
        <v>27900</v>
      </c>
      <c r="H7" s="487">
        <f t="shared" ref="H7:H26" si="1">G7/I7</f>
        <v>3.1747837960855714</v>
      </c>
      <c r="I7" s="488">
        <v>8788</v>
      </c>
      <c r="J7" s="569">
        <v>2.7879999999999998</v>
      </c>
      <c r="K7" s="489">
        <v>21.5</v>
      </c>
      <c r="L7" s="490">
        <v>9758</v>
      </c>
      <c r="M7" s="490">
        <v>5954</v>
      </c>
      <c r="N7" s="491">
        <f t="shared" ref="N7:N19" si="2">M7/Q7</f>
        <v>1.7006569551556698</v>
      </c>
      <c r="O7" s="490">
        <v>14149</v>
      </c>
      <c r="P7" s="491">
        <f t="shared" ref="P7:P25" si="3">O7/Q7</f>
        <v>4.0414167380748358</v>
      </c>
      <c r="Q7" s="490">
        <v>3501</v>
      </c>
      <c r="R7" s="492">
        <v>1.03E-2</v>
      </c>
      <c r="S7" s="492">
        <v>1.7609999999999999</v>
      </c>
      <c r="T7" s="570">
        <v>194</v>
      </c>
      <c r="U7" s="493">
        <v>1.329</v>
      </c>
      <c r="V7" s="494">
        <v>25.6</v>
      </c>
      <c r="W7" s="495">
        <v>2193</v>
      </c>
      <c r="X7" s="495">
        <v>828</v>
      </c>
      <c r="Y7" s="496">
        <f t="shared" ref="Y7:Y26" si="4">X7/AB7</f>
        <v>0.50169655841008243</v>
      </c>
      <c r="Z7" s="495">
        <v>2978</v>
      </c>
      <c r="AA7" s="496">
        <f t="shared" ref="AA7:AA26" si="5">Z7/AB7</f>
        <v>1.8044110518662142</v>
      </c>
      <c r="AB7" s="495">
        <v>1650.4</v>
      </c>
      <c r="AC7" s="497">
        <v>1.9699999999999999E-2</v>
      </c>
      <c r="AD7" s="498">
        <v>1.4339999999999999</v>
      </c>
      <c r="AE7" s="575">
        <v>70</v>
      </c>
      <c r="AF7" s="996">
        <v>3.5830000000000002</v>
      </c>
      <c r="AG7" s="499">
        <v>24.1</v>
      </c>
      <c r="AH7" s="500">
        <v>5716</v>
      </c>
      <c r="AI7" s="500">
        <v>3674</v>
      </c>
      <c r="AJ7" s="501">
        <f t="shared" ref="AJ7:AJ19" si="6">AI7/AM7</f>
        <v>2.3034482758620691</v>
      </c>
      <c r="AK7" s="500">
        <v>9563</v>
      </c>
      <c r="AL7" s="501">
        <f t="shared" ref="AL7:AL19" si="7">AK7/AM7</f>
        <v>5.9956112852664578</v>
      </c>
      <c r="AM7" s="500">
        <v>1595</v>
      </c>
      <c r="AN7" s="502">
        <v>1.18E-2</v>
      </c>
      <c r="AO7" s="501">
        <v>1.8919999999999999</v>
      </c>
      <c r="AP7" s="580">
        <v>150</v>
      </c>
      <c r="AQ7" s="503">
        <v>4.1120000000000001</v>
      </c>
      <c r="AR7" s="504">
        <v>15.1</v>
      </c>
      <c r="AS7" s="505">
        <v>4766</v>
      </c>
      <c r="AT7" s="505">
        <v>3272</v>
      </c>
      <c r="AU7" s="505">
        <v>6106</v>
      </c>
      <c r="AV7" s="505">
        <v>1159.1500000000001</v>
      </c>
      <c r="AW7" s="506">
        <v>1.0800000000000001E-2</v>
      </c>
      <c r="AX7" s="507">
        <v>1.724</v>
      </c>
      <c r="AY7" s="586">
        <v>175</v>
      </c>
      <c r="AZ7" s="493">
        <v>0.28199999999999997</v>
      </c>
      <c r="BA7" s="494">
        <v>42.3</v>
      </c>
      <c r="BB7" s="495">
        <v>249</v>
      </c>
      <c r="BC7" s="495">
        <v>27</v>
      </c>
      <c r="BD7" s="495">
        <v>400</v>
      </c>
      <c r="BE7" s="495">
        <v>883</v>
      </c>
      <c r="BF7" s="497">
        <v>1.0800000000000001E-2</v>
      </c>
      <c r="BG7" s="496">
        <v>1.724</v>
      </c>
      <c r="BH7" s="575">
        <v>175</v>
      </c>
      <c r="BI7" s="592"/>
      <c r="BJ7" s="593"/>
      <c r="BK7" s="594">
        <v>683</v>
      </c>
      <c r="BL7" s="594"/>
      <c r="BM7" s="594"/>
      <c r="BN7" s="594"/>
      <c r="BO7" s="593">
        <f>BK7/BK6</f>
        <v>1.0332829046898639</v>
      </c>
      <c r="BP7" s="594">
        <v>561</v>
      </c>
      <c r="BQ7" s="595">
        <v>832</v>
      </c>
      <c r="BR7" s="508"/>
      <c r="BS7" s="508"/>
      <c r="BT7" s="508"/>
      <c r="BU7" s="508"/>
      <c r="BV7" s="508"/>
    </row>
    <row r="8" spans="1:74" x14ac:dyDescent="0.25">
      <c r="A8" s="932">
        <v>2003</v>
      </c>
      <c r="B8" s="484">
        <v>2.5310000000000001</v>
      </c>
      <c r="C8" s="485">
        <v>9.1</v>
      </c>
      <c r="D8" s="485">
        <v>22200</v>
      </c>
      <c r="E8" s="486">
        <v>18300</v>
      </c>
      <c r="F8" s="487">
        <f t="shared" si="0"/>
        <v>2.082859094013203</v>
      </c>
      <c r="G8" s="486">
        <v>26200</v>
      </c>
      <c r="H8" s="487">
        <f t="shared" si="1"/>
        <v>2.982016844980651</v>
      </c>
      <c r="I8" s="488">
        <v>8786</v>
      </c>
      <c r="J8" s="569">
        <v>2.4279999999999999</v>
      </c>
      <c r="K8" s="489">
        <v>16.600000000000001</v>
      </c>
      <c r="L8" s="490">
        <v>8495</v>
      </c>
      <c r="M8" s="490">
        <v>5795</v>
      </c>
      <c r="N8" s="491">
        <f t="shared" si="2"/>
        <v>1.6566609491137794</v>
      </c>
      <c r="O8" s="490">
        <v>11211</v>
      </c>
      <c r="P8" s="491">
        <f t="shared" si="3"/>
        <v>3.204974271012007</v>
      </c>
      <c r="Q8" s="490">
        <v>3498</v>
      </c>
      <c r="R8" s="492">
        <v>8.6999999999999994E-3</v>
      </c>
      <c r="S8" s="492">
        <v>1.8169999999999999</v>
      </c>
      <c r="T8" s="570">
        <v>300</v>
      </c>
      <c r="U8" s="493">
        <v>2.0590000000000002</v>
      </c>
      <c r="V8" s="494">
        <v>23</v>
      </c>
      <c r="W8" s="495">
        <v>3399</v>
      </c>
      <c r="X8" s="495">
        <v>2032</v>
      </c>
      <c r="Y8" s="496">
        <f t="shared" si="4"/>
        <v>1.2312166747455162</v>
      </c>
      <c r="Z8" s="495">
        <v>5157</v>
      </c>
      <c r="AA8" s="496">
        <f t="shared" si="5"/>
        <v>3.1246970431410563</v>
      </c>
      <c r="AB8" s="495">
        <v>1650.4</v>
      </c>
      <c r="AC8" s="497">
        <v>1.7100000000000001E-2</v>
      </c>
      <c r="AD8" s="498">
        <v>1.3979999999999999</v>
      </c>
      <c r="AE8" s="575">
        <v>80</v>
      </c>
      <c r="AF8" s="996">
        <v>3.6859999999999999</v>
      </c>
      <c r="AG8" s="499">
        <v>16.100000000000001</v>
      </c>
      <c r="AH8" s="500">
        <v>5881</v>
      </c>
      <c r="AI8" s="500">
        <v>3992</v>
      </c>
      <c r="AJ8" s="501">
        <f t="shared" si="6"/>
        <v>2.50282131661442</v>
      </c>
      <c r="AK8" s="500">
        <v>7542</v>
      </c>
      <c r="AL8" s="501">
        <f t="shared" si="7"/>
        <v>4.7285266457680253</v>
      </c>
      <c r="AM8" s="500">
        <v>1595</v>
      </c>
      <c r="AN8" s="502">
        <v>1.32E-2</v>
      </c>
      <c r="AO8" s="501">
        <v>1.6639999999999999</v>
      </c>
      <c r="AP8" s="580">
        <v>130</v>
      </c>
      <c r="AQ8" s="503">
        <v>3.806</v>
      </c>
      <c r="AR8" s="504">
        <v>17.3</v>
      </c>
      <c r="AS8" s="505">
        <v>4412</v>
      </c>
      <c r="AT8" s="505">
        <v>3488</v>
      </c>
      <c r="AU8" s="505">
        <v>6495</v>
      </c>
      <c r="AV8" s="505">
        <v>1159.1500000000001</v>
      </c>
      <c r="AW8" s="506">
        <v>8.6E-3</v>
      </c>
      <c r="AX8" s="507">
        <v>1.704</v>
      </c>
      <c r="AY8" s="586">
        <v>180</v>
      </c>
      <c r="AZ8" s="493">
        <v>5.5E-2</v>
      </c>
      <c r="BA8" s="494">
        <v>61.1</v>
      </c>
      <c r="BB8" s="495">
        <v>48</v>
      </c>
      <c r="BC8" s="495" t="s">
        <v>493</v>
      </c>
      <c r="BD8" s="495">
        <v>85</v>
      </c>
      <c r="BE8" s="495">
        <v>883</v>
      </c>
      <c r="BF8" s="497">
        <v>8.6E-3</v>
      </c>
      <c r="BG8" s="496">
        <v>1.704</v>
      </c>
      <c r="BH8" s="575">
        <v>180</v>
      </c>
      <c r="BI8" s="592"/>
      <c r="BJ8" s="593"/>
      <c r="BK8" s="594">
        <v>699</v>
      </c>
      <c r="BL8" s="594"/>
      <c r="BM8" s="594"/>
      <c r="BN8" s="594"/>
      <c r="BO8" s="593">
        <f>BK8/BK7</f>
        <v>1.0234260614934114</v>
      </c>
      <c r="BP8" s="594">
        <v>567</v>
      </c>
      <c r="BQ8" s="595">
        <v>860</v>
      </c>
      <c r="BR8" s="508"/>
      <c r="BS8" s="508"/>
      <c r="BT8" s="508"/>
      <c r="BU8" s="508"/>
      <c r="BV8" s="508"/>
    </row>
    <row r="9" spans="1:74" x14ac:dyDescent="0.25">
      <c r="A9" s="932">
        <v>2004</v>
      </c>
      <c r="B9" s="484">
        <v>2.4550000000000001</v>
      </c>
      <c r="C9" s="485">
        <v>10.5</v>
      </c>
      <c r="D9" s="485">
        <v>21600</v>
      </c>
      <c r="E9" s="486">
        <v>17100</v>
      </c>
      <c r="F9" s="487">
        <f t="shared" si="0"/>
        <v>1.9462781698156157</v>
      </c>
      <c r="G9" s="486">
        <v>26000</v>
      </c>
      <c r="H9" s="487">
        <f t="shared" si="1"/>
        <v>2.9592533576143865</v>
      </c>
      <c r="I9" s="488">
        <v>8786</v>
      </c>
      <c r="J9" s="569">
        <v>1.5620000000000001</v>
      </c>
      <c r="K9" s="489">
        <v>22</v>
      </c>
      <c r="L9" s="490">
        <v>5465</v>
      </c>
      <c r="M9" s="490">
        <v>2921</v>
      </c>
      <c r="N9" s="491">
        <f t="shared" si="2"/>
        <v>0.83504859919954255</v>
      </c>
      <c r="O9" s="490">
        <v>7527</v>
      </c>
      <c r="P9" s="491">
        <f t="shared" si="3"/>
        <v>2.1518010291595195</v>
      </c>
      <c r="Q9" s="490">
        <v>3498</v>
      </c>
      <c r="R9" s="492">
        <v>1.0800000000000001E-2</v>
      </c>
      <c r="S9" s="492">
        <v>1.7889999999999999</v>
      </c>
      <c r="T9" s="570">
        <v>280</v>
      </c>
      <c r="U9" s="493">
        <v>1.823</v>
      </c>
      <c r="V9" s="494">
        <v>27</v>
      </c>
      <c r="W9" s="495">
        <v>3009</v>
      </c>
      <c r="X9" s="495">
        <v>1669</v>
      </c>
      <c r="Y9" s="496">
        <f t="shared" si="4"/>
        <v>1.0112699951526902</v>
      </c>
      <c r="Z9" s="495">
        <v>4634</v>
      </c>
      <c r="AA9" s="496">
        <f t="shared" si="5"/>
        <v>2.8078041686863791</v>
      </c>
      <c r="AB9" s="495">
        <v>1650.4</v>
      </c>
      <c r="AC9" s="497">
        <v>1.15E-2</v>
      </c>
      <c r="AD9" s="498">
        <v>1.411</v>
      </c>
      <c r="AE9" s="575">
        <v>115</v>
      </c>
      <c r="AF9" s="996">
        <v>5.0510000000000002</v>
      </c>
      <c r="AG9" s="499">
        <v>13.7</v>
      </c>
      <c r="AH9" s="500">
        <v>8058</v>
      </c>
      <c r="AI9" s="500">
        <v>5369</v>
      </c>
      <c r="AJ9" s="501">
        <f t="shared" si="6"/>
        <v>3.3661442006269593</v>
      </c>
      <c r="AK9" s="500">
        <v>9819</v>
      </c>
      <c r="AL9" s="501">
        <f t="shared" si="7"/>
        <v>6.1561128526645765</v>
      </c>
      <c r="AM9" s="500">
        <v>1595</v>
      </c>
      <c r="AN9" s="502">
        <v>1.41E-2</v>
      </c>
      <c r="AO9" s="501">
        <v>1.6970000000000001</v>
      </c>
      <c r="AP9" s="580">
        <v>110</v>
      </c>
      <c r="AQ9" s="503">
        <v>4.2720000000000002</v>
      </c>
      <c r="AR9" s="504">
        <v>26.9</v>
      </c>
      <c r="AS9" s="505">
        <v>4952</v>
      </c>
      <c r="AT9" s="505">
        <v>3791</v>
      </c>
      <c r="AU9" s="509">
        <v>9021</v>
      </c>
      <c r="AV9" s="505">
        <v>1159.1500000000001</v>
      </c>
      <c r="AW9" s="506">
        <v>9.2999999999999992E-3</v>
      </c>
      <c r="AX9" s="507">
        <v>1.7</v>
      </c>
      <c r="AY9" s="586">
        <v>200</v>
      </c>
      <c r="AZ9" s="493">
        <v>9.9000000000000005E-2</v>
      </c>
      <c r="BA9" s="494">
        <v>60.5</v>
      </c>
      <c r="BB9" s="495">
        <v>88</v>
      </c>
      <c r="BC9" s="495">
        <v>18</v>
      </c>
      <c r="BD9" s="495">
        <v>214</v>
      </c>
      <c r="BE9" s="495">
        <v>883</v>
      </c>
      <c r="BF9" s="497">
        <v>9.2999999999999992E-3</v>
      </c>
      <c r="BG9" s="496">
        <v>1.7</v>
      </c>
      <c r="BH9" s="575">
        <v>200</v>
      </c>
      <c r="BI9" s="592"/>
      <c r="BJ9" s="593"/>
      <c r="BK9" s="594"/>
      <c r="BL9" s="594"/>
      <c r="BM9" s="594"/>
      <c r="BN9" s="594"/>
      <c r="BO9" s="594"/>
      <c r="BP9" s="594"/>
      <c r="BQ9" s="595"/>
      <c r="BR9" s="508"/>
      <c r="BS9" s="508"/>
      <c r="BT9" s="508"/>
      <c r="BU9" s="508"/>
      <c r="BV9" s="508"/>
    </row>
    <row r="10" spans="1:74" x14ac:dyDescent="0.25">
      <c r="A10" s="932">
        <v>2005</v>
      </c>
      <c r="B10" s="484">
        <v>2.2999999999999998</v>
      </c>
      <c r="C10" s="485">
        <v>10.7</v>
      </c>
      <c r="D10" s="485">
        <v>20200</v>
      </c>
      <c r="E10" s="486">
        <v>16000</v>
      </c>
      <c r="F10" s="487">
        <f t="shared" si="0"/>
        <v>1.821286283437678</v>
      </c>
      <c r="G10" s="486">
        <v>24400</v>
      </c>
      <c r="H10" s="487">
        <f t="shared" si="1"/>
        <v>2.7774615822424589</v>
      </c>
      <c r="I10" s="488">
        <v>8785</v>
      </c>
      <c r="J10" s="569">
        <v>2.2749999999999999</v>
      </c>
      <c r="K10" s="489">
        <v>20.5</v>
      </c>
      <c r="L10" s="490">
        <v>7956</v>
      </c>
      <c r="M10" s="490">
        <v>4900</v>
      </c>
      <c r="N10" s="491">
        <f t="shared" si="2"/>
        <v>1.4012010294538175</v>
      </c>
      <c r="O10" s="490">
        <v>11288</v>
      </c>
      <c r="P10" s="491">
        <f t="shared" si="3"/>
        <v>3.2279096368315701</v>
      </c>
      <c r="Q10" s="490">
        <v>3497</v>
      </c>
      <c r="R10" s="492">
        <v>1.5599999999999999E-2</v>
      </c>
      <c r="S10" s="492">
        <v>1.758</v>
      </c>
      <c r="T10" s="570">
        <v>150</v>
      </c>
      <c r="U10" s="493">
        <v>1.5609999999999999</v>
      </c>
      <c r="V10" s="494">
        <v>20.399999999999999</v>
      </c>
      <c r="W10" s="495">
        <v>2576</v>
      </c>
      <c r="X10" s="495">
        <v>1675</v>
      </c>
      <c r="Y10" s="496">
        <f t="shared" si="4"/>
        <v>1.0149054774600097</v>
      </c>
      <c r="Z10" s="495">
        <v>3729</v>
      </c>
      <c r="AA10" s="496">
        <f t="shared" si="5"/>
        <v>2.2594522539990303</v>
      </c>
      <c r="AB10" s="495">
        <v>1650.4</v>
      </c>
      <c r="AC10" s="497">
        <v>1.3599999999999999E-2</v>
      </c>
      <c r="AD10" s="498">
        <v>1.4179999999999999</v>
      </c>
      <c r="AE10" s="575">
        <v>130</v>
      </c>
      <c r="AF10" s="996">
        <v>3.669</v>
      </c>
      <c r="AG10" s="499">
        <v>16.899999999999999</v>
      </c>
      <c r="AH10" s="500">
        <v>5854</v>
      </c>
      <c r="AI10" s="500">
        <v>3580</v>
      </c>
      <c r="AJ10" s="501">
        <f t="shared" si="6"/>
        <v>2.2445141065830723</v>
      </c>
      <c r="AK10" s="500">
        <v>7447</v>
      </c>
      <c r="AL10" s="501">
        <f t="shared" si="7"/>
        <v>4.6689655172413795</v>
      </c>
      <c r="AM10" s="500">
        <v>1595</v>
      </c>
      <c r="AN10" s="502">
        <v>1.2699999999999999E-2</v>
      </c>
      <c r="AO10" s="501">
        <v>1.841</v>
      </c>
      <c r="AP10" s="580">
        <v>150</v>
      </c>
      <c r="AQ10" s="503">
        <v>3.169</v>
      </c>
      <c r="AR10" s="504">
        <v>23.6</v>
      </c>
      <c r="AS10" s="505">
        <v>3673</v>
      </c>
      <c r="AT10" s="505">
        <v>2740</v>
      </c>
      <c r="AU10" s="505">
        <v>6095</v>
      </c>
      <c r="AV10" s="505">
        <v>1159.1500000000001</v>
      </c>
      <c r="AW10" s="506">
        <v>1.0800000000000001E-2</v>
      </c>
      <c r="AX10" s="507">
        <v>1.518</v>
      </c>
      <c r="AY10" s="586">
        <v>170</v>
      </c>
      <c r="AZ10" s="493">
        <v>0.16900000000000001</v>
      </c>
      <c r="BA10" s="494">
        <v>31.8</v>
      </c>
      <c r="BB10" s="495">
        <v>149</v>
      </c>
      <c r="BC10" s="495">
        <v>69</v>
      </c>
      <c r="BD10" s="495">
        <v>251</v>
      </c>
      <c r="BE10" s="495">
        <v>883</v>
      </c>
      <c r="BF10" s="497">
        <v>1.0800000000000001E-2</v>
      </c>
      <c r="BG10" s="496">
        <v>1.518</v>
      </c>
      <c r="BH10" s="575">
        <v>170</v>
      </c>
      <c r="BI10" s="592"/>
      <c r="BJ10" s="593"/>
      <c r="BK10" s="594"/>
      <c r="BL10" s="594"/>
      <c r="BM10" s="594"/>
      <c r="BN10" s="594"/>
      <c r="BO10" s="594"/>
      <c r="BP10" s="594"/>
      <c r="BQ10" s="595"/>
      <c r="BR10" s="508"/>
      <c r="BS10" s="508"/>
      <c r="BT10" s="508"/>
      <c r="BU10" s="508"/>
      <c r="BV10" s="508"/>
    </row>
    <row r="11" spans="1:74" x14ac:dyDescent="0.25">
      <c r="A11" s="932">
        <v>2006</v>
      </c>
      <c r="B11" s="484">
        <v>2.0870000000000002</v>
      </c>
      <c r="C11" s="485">
        <v>8.1999999999999993</v>
      </c>
      <c r="D11" s="485">
        <v>18335</v>
      </c>
      <c r="E11" s="486">
        <v>15400</v>
      </c>
      <c r="F11" s="487">
        <f t="shared" si="0"/>
        <v>1.7529880478087649</v>
      </c>
      <c r="G11" s="486">
        <v>21300</v>
      </c>
      <c r="H11" s="487">
        <f t="shared" si="1"/>
        <v>2.4245873648264085</v>
      </c>
      <c r="I11" s="488">
        <v>8785</v>
      </c>
      <c r="J11" s="569">
        <v>1.6870000000000001</v>
      </c>
      <c r="K11" s="489">
        <v>18.100000000000001</v>
      </c>
      <c r="L11" s="490">
        <v>5899</v>
      </c>
      <c r="M11" s="490">
        <v>4211</v>
      </c>
      <c r="N11" s="491">
        <f t="shared" si="2"/>
        <v>1.204175007148985</v>
      </c>
      <c r="O11" s="490">
        <v>8242</v>
      </c>
      <c r="P11" s="491">
        <f t="shared" si="3"/>
        <v>2.3568773234200742</v>
      </c>
      <c r="Q11" s="490">
        <v>3497</v>
      </c>
      <c r="R11" s="492">
        <v>1.38E-2</v>
      </c>
      <c r="S11" s="492">
        <v>1.7649999999999999</v>
      </c>
      <c r="T11" s="570">
        <v>139</v>
      </c>
      <c r="U11" s="493">
        <v>1.4430000000000001</v>
      </c>
      <c r="V11" s="494">
        <v>18</v>
      </c>
      <c r="W11" s="495">
        <v>2381</v>
      </c>
      <c r="X11" s="495">
        <v>1702</v>
      </c>
      <c r="Y11" s="496">
        <f t="shared" si="4"/>
        <v>1.0312651478429471</v>
      </c>
      <c r="Z11" s="495">
        <v>3433</v>
      </c>
      <c r="AA11" s="496">
        <f t="shared" si="5"/>
        <v>2.0801017935046047</v>
      </c>
      <c r="AB11" s="495">
        <v>1650.4</v>
      </c>
      <c r="AC11" s="497">
        <v>1.2999999999999999E-2</v>
      </c>
      <c r="AD11" s="498">
        <v>1.5669999999999999</v>
      </c>
      <c r="AE11" s="575">
        <v>107</v>
      </c>
      <c r="AF11" s="996">
        <v>3.7309999999999999</v>
      </c>
      <c r="AG11" s="499">
        <v>12.7</v>
      </c>
      <c r="AH11" s="500">
        <v>5953</v>
      </c>
      <c r="AI11" s="500">
        <v>4546</v>
      </c>
      <c r="AJ11" s="501">
        <f t="shared" si="6"/>
        <v>2.8501567398119123</v>
      </c>
      <c r="AK11" s="500">
        <v>7617</v>
      </c>
      <c r="AL11" s="501">
        <f t="shared" si="7"/>
        <v>4.7755485893416925</v>
      </c>
      <c r="AM11" s="500">
        <v>1595</v>
      </c>
      <c r="AN11" s="502">
        <v>1.14E-2</v>
      </c>
      <c r="AO11" s="501">
        <v>1.8140000000000001</v>
      </c>
      <c r="AP11" s="580">
        <v>145</v>
      </c>
      <c r="AQ11" s="503">
        <v>3.41</v>
      </c>
      <c r="AR11" s="504">
        <v>14.9</v>
      </c>
      <c r="AS11" s="505">
        <v>3953</v>
      </c>
      <c r="AT11" s="505">
        <v>3164</v>
      </c>
      <c r="AU11" s="505">
        <v>5525</v>
      </c>
      <c r="AV11" s="505">
        <v>1159.1500000000001</v>
      </c>
      <c r="AW11" s="506">
        <v>1.06E-2</v>
      </c>
      <c r="AX11" s="507">
        <v>1.6220000000000001</v>
      </c>
      <c r="AY11" s="586">
        <v>150</v>
      </c>
      <c r="AZ11" s="493" t="s">
        <v>494</v>
      </c>
      <c r="BA11" s="494" t="s">
        <v>493</v>
      </c>
      <c r="BB11" s="495">
        <v>89</v>
      </c>
      <c r="BC11" s="495">
        <v>35</v>
      </c>
      <c r="BD11" s="495">
        <v>150</v>
      </c>
      <c r="BE11" s="495">
        <v>883</v>
      </c>
      <c r="BF11" s="497">
        <v>1.06E-2</v>
      </c>
      <c r="BG11" s="496">
        <v>1.6220000000000001</v>
      </c>
      <c r="BH11" s="575">
        <v>150</v>
      </c>
      <c r="BI11" s="592"/>
      <c r="BJ11" s="593"/>
      <c r="BK11" s="594"/>
      <c r="BL11" s="594"/>
      <c r="BM11" s="594"/>
      <c r="BN11" s="594"/>
      <c r="BO11" s="594"/>
      <c r="BP11" s="594"/>
      <c r="BQ11" s="595"/>
      <c r="BR11" s="508"/>
      <c r="BS11" s="508"/>
      <c r="BT11" s="508"/>
      <c r="BU11" s="508"/>
      <c r="BV11" s="508"/>
    </row>
    <row r="12" spans="1:74" x14ac:dyDescent="0.25">
      <c r="A12" s="932">
        <v>2007</v>
      </c>
      <c r="B12" s="484">
        <v>1.9710000000000001</v>
      </c>
      <c r="C12" s="485">
        <v>13.7</v>
      </c>
      <c r="D12" s="485">
        <v>17300</v>
      </c>
      <c r="E12" s="486">
        <v>12700</v>
      </c>
      <c r="F12" s="487">
        <f t="shared" si="0"/>
        <v>1.4456459874786567</v>
      </c>
      <c r="G12" s="486">
        <v>22000</v>
      </c>
      <c r="H12" s="487">
        <f t="shared" si="1"/>
        <v>2.5042686397268072</v>
      </c>
      <c r="I12" s="488">
        <v>8785</v>
      </c>
      <c r="J12" s="569">
        <v>1.9970000000000001</v>
      </c>
      <c r="K12" s="489">
        <v>24.2</v>
      </c>
      <c r="L12" s="490">
        <v>6985</v>
      </c>
      <c r="M12" s="490">
        <v>4148</v>
      </c>
      <c r="N12" s="491">
        <f t="shared" si="2"/>
        <v>1.1861595653417214</v>
      </c>
      <c r="O12" s="490">
        <v>10639</v>
      </c>
      <c r="P12" s="491">
        <f t="shared" si="3"/>
        <v>3.0423219902773808</v>
      </c>
      <c r="Q12" s="490">
        <v>3497</v>
      </c>
      <c r="R12" s="492">
        <v>1.17E-2</v>
      </c>
      <c r="S12" s="492">
        <v>1.6419999999999999</v>
      </c>
      <c r="T12" s="570">
        <v>378</v>
      </c>
      <c r="U12" s="493">
        <v>1.536</v>
      </c>
      <c r="V12" s="494">
        <v>26.7</v>
      </c>
      <c r="W12" s="495">
        <v>2535</v>
      </c>
      <c r="X12" s="495">
        <v>1318</v>
      </c>
      <c r="Y12" s="496">
        <f t="shared" si="4"/>
        <v>0.79859428017450307</v>
      </c>
      <c r="Z12" s="495">
        <v>3867</v>
      </c>
      <c r="AA12" s="496">
        <f t="shared" si="5"/>
        <v>2.3430683470673777</v>
      </c>
      <c r="AB12" s="495">
        <v>1650.4</v>
      </c>
      <c r="AC12" s="497">
        <v>1.35E-2</v>
      </c>
      <c r="AD12" s="498">
        <v>1.496</v>
      </c>
      <c r="AE12" s="575">
        <v>126</v>
      </c>
      <c r="AF12" s="996">
        <v>2.5179999999999998</v>
      </c>
      <c r="AG12" s="499">
        <v>19.8</v>
      </c>
      <c r="AH12" s="500">
        <v>4018</v>
      </c>
      <c r="AI12" s="500">
        <v>2730</v>
      </c>
      <c r="AJ12" s="501">
        <f t="shared" si="6"/>
        <v>1.7115987460815048</v>
      </c>
      <c r="AK12" s="500">
        <v>5782</v>
      </c>
      <c r="AL12" s="501">
        <f t="shared" si="7"/>
        <v>3.6250783699059563</v>
      </c>
      <c r="AM12" s="500">
        <v>1595</v>
      </c>
      <c r="AN12" s="502">
        <v>1.06E-2</v>
      </c>
      <c r="AO12" s="501">
        <v>1.653</v>
      </c>
      <c r="AP12" s="580">
        <v>150</v>
      </c>
      <c r="AQ12" s="503">
        <v>3.234</v>
      </c>
      <c r="AR12" s="504">
        <v>34.799999999999997</v>
      </c>
      <c r="AS12" s="505">
        <v>3749</v>
      </c>
      <c r="AT12" s="505">
        <v>2659</v>
      </c>
      <c r="AU12" s="505">
        <v>7400</v>
      </c>
      <c r="AV12" s="505">
        <v>1159.1500000000001</v>
      </c>
      <c r="AW12" s="506">
        <v>1.06E-2</v>
      </c>
      <c r="AX12" s="507">
        <v>1.607</v>
      </c>
      <c r="AY12" s="586">
        <v>180</v>
      </c>
      <c r="AZ12" s="493">
        <v>3.3000000000000002E-2</v>
      </c>
      <c r="BA12" s="494">
        <v>37.700000000000003</v>
      </c>
      <c r="BB12" s="495">
        <v>30</v>
      </c>
      <c r="BC12" s="495" t="s">
        <v>493</v>
      </c>
      <c r="BD12" s="495">
        <v>49</v>
      </c>
      <c r="BE12" s="495">
        <v>883</v>
      </c>
      <c r="BF12" s="497">
        <v>1.06E-2</v>
      </c>
      <c r="BG12" s="496">
        <v>1.607</v>
      </c>
      <c r="BH12" s="575">
        <v>180</v>
      </c>
      <c r="BI12" s="592"/>
      <c r="BJ12" s="593"/>
      <c r="BK12" s="594">
        <v>378</v>
      </c>
      <c r="BL12" s="594"/>
      <c r="BM12" s="594"/>
      <c r="BN12" s="594"/>
      <c r="BO12" s="594"/>
      <c r="BP12" s="594">
        <v>238</v>
      </c>
      <c r="BQ12" s="595">
        <v>518</v>
      </c>
      <c r="BR12" s="508"/>
      <c r="BS12" s="508"/>
      <c r="BT12" s="508"/>
      <c r="BU12" s="508"/>
      <c r="BV12" s="508"/>
    </row>
    <row r="13" spans="1:74" x14ac:dyDescent="0.25">
      <c r="A13" s="932">
        <v>2008</v>
      </c>
      <c r="B13" s="484">
        <v>2.0640000000000001</v>
      </c>
      <c r="C13" s="485">
        <v>8.9</v>
      </c>
      <c r="D13" s="485">
        <v>18100</v>
      </c>
      <c r="E13" s="486">
        <v>15000</v>
      </c>
      <c r="F13" s="487">
        <f t="shared" si="0"/>
        <v>1.707455890722823</v>
      </c>
      <c r="G13" s="486">
        <v>21300</v>
      </c>
      <c r="H13" s="487">
        <f t="shared" si="1"/>
        <v>2.4245873648264085</v>
      </c>
      <c r="I13" s="488">
        <v>8785</v>
      </c>
      <c r="J13" s="569">
        <v>1.3440000000000001</v>
      </c>
      <c r="K13" s="489">
        <v>17.600000000000001</v>
      </c>
      <c r="L13" s="490">
        <v>4699</v>
      </c>
      <c r="M13" s="490">
        <v>3000</v>
      </c>
      <c r="N13" s="491">
        <f t="shared" si="2"/>
        <v>0.85787818129825566</v>
      </c>
      <c r="O13" s="490">
        <v>6314</v>
      </c>
      <c r="P13" s="491">
        <f t="shared" si="3"/>
        <v>1.8055476122390621</v>
      </c>
      <c r="Q13" s="490">
        <v>3497</v>
      </c>
      <c r="R13" s="492">
        <v>1.09E-2</v>
      </c>
      <c r="S13" s="492">
        <v>1.7390000000000001</v>
      </c>
      <c r="T13" s="570">
        <v>206</v>
      </c>
      <c r="U13" s="493">
        <v>1.169</v>
      </c>
      <c r="V13" s="494">
        <v>22.1</v>
      </c>
      <c r="W13" s="495">
        <v>1929</v>
      </c>
      <c r="X13" s="495">
        <v>1164</v>
      </c>
      <c r="Y13" s="496">
        <f t="shared" si="4"/>
        <v>0.70528356761997091</v>
      </c>
      <c r="Z13" s="495">
        <v>2868</v>
      </c>
      <c r="AA13" s="496">
        <f t="shared" si="5"/>
        <v>1.7377605428986911</v>
      </c>
      <c r="AB13" s="495">
        <v>1650.4</v>
      </c>
      <c r="AC13" s="497">
        <v>1.12E-2</v>
      </c>
      <c r="AD13" s="498">
        <v>1.5349999999999999</v>
      </c>
      <c r="AE13" s="575">
        <v>187</v>
      </c>
      <c r="AF13" s="996">
        <v>3.8570000000000002</v>
      </c>
      <c r="AG13" s="499">
        <v>14.7</v>
      </c>
      <c r="AH13" s="500">
        <v>6153</v>
      </c>
      <c r="AI13" s="500">
        <v>4485</v>
      </c>
      <c r="AJ13" s="501">
        <f t="shared" si="6"/>
        <v>2.8119122257053291</v>
      </c>
      <c r="AK13" s="500">
        <v>8066</v>
      </c>
      <c r="AL13" s="501">
        <f t="shared" si="7"/>
        <v>5.0570532915360502</v>
      </c>
      <c r="AM13" s="500">
        <v>1595</v>
      </c>
      <c r="AN13" s="502">
        <v>1.1299999999999999E-2</v>
      </c>
      <c r="AO13" s="501">
        <v>1.75</v>
      </c>
      <c r="AP13" s="580">
        <v>130</v>
      </c>
      <c r="AQ13" s="503">
        <v>4.5599999999999996</v>
      </c>
      <c r="AR13" s="504">
        <v>17.899999999999999</v>
      </c>
      <c r="AS13" s="505">
        <v>5285</v>
      </c>
      <c r="AT13" s="505">
        <v>3809</v>
      </c>
      <c r="AU13" s="505">
        <v>7503</v>
      </c>
      <c r="AV13" s="505">
        <v>1159.1500000000001</v>
      </c>
      <c r="AW13" s="506">
        <v>0.01</v>
      </c>
      <c r="AX13" s="507">
        <v>1.7050000000000001</v>
      </c>
      <c r="AY13" s="586">
        <v>200</v>
      </c>
      <c r="AZ13" s="493">
        <v>7.5999999999999998E-2</v>
      </c>
      <c r="BA13" s="494">
        <v>48.1</v>
      </c>
      <c r="BB13" s="495">
        <v>67</v>
      </c>
      <c r="BC13" s="495">
        <v>9</v>
      </c>
      <c r="BD13" s="495">
        <v>132</v>
      </c>
      <c r="BE13" s="495">
        <v>883</v>
      </c>
      <c r="BF13" s="497">
        <v>0.01</v>
      </c>
      <c r="BG13" s="496">
        <v>1.7050000000000001</v>
      </c>
      <c r="BH13" s="575">
        <v>200</v>
      </c>
      <c r="BI13" s="592"/>
      <c r="BJ13" s="593"/>
      <c r="BK13" s="594">
        <v>174</v>
      </c>
      <c r="BL13" s="594"/>
      <c r="BM13" s="594"/>
      <c r="BN13" s="594"/>
      <c r="BO13" s="593">
        <f>BK13/BK12</f>
        <v>0.46031746031746029</v>
      </c>
      <c r="BP13" s="594">
        <v>91</v>
      </c>
      <c r="BQ13" s="595">
        <v>256</v>
      </c>
      <c r="BR13" s="508"/>
      <c r="BS13" s="508"/>
      <c r="BT13" s="508"/>
      <c r="BU13" s="508"/>
      <c r="BV13" s="508"/>
    </row>
    <row r="14" spans="1:74" x14ac:dyDescent="0.25">
      <c r="A14" s="933">
        <v>2009</v>
      </c>
      <c r="B14" s="484">
        <v>1.9630000000000001</v>
      </c>
      <c r="C14" s="485">
        <v>10.6</v>
      </c>
      <c r="D14" s="485">
        <v>17200</v>
      </c>
      <c r="E14" s="486">
        <v>13700</v>
      </c>
      <c r="F14" s="487">
        <f t="shared" si="0"/>
        <v>1.5594763801935116</v>
      </c>
      <c r="G14" s="486">
        <v>20800</v>
      </c>
      <c r="H14" s="487">
        <f t="shared" si="1"/>
        <v>2.3676721684689812</v>
      </c>
      <c r="I14" s="488">
        <v>8785</v>
      </c>
      <c r="J14" s="569">
        <v>1.6080000000000001</v>
      </c>
      <c r="K14" s="489">
        <v>21.2</v>
      </c>
      <c r="L14" s="490">
        <v>5623</v>
      </c>
      <c r="M14" s="490">
        <v>3786</v>
      </c>
      <c r="N14" s="491">
        <f t="shared" si="2"/>
        <v>1.0826422647983986</v>
      </c>
      <c r="O14" s="490">
        <v>8497</v>
      </c>
      <c r="P14" s="491">
        <f t="shared" si="3"/>
        <v>2.4297969688304262</v>
      </c>
      <c r="Q14" s="490">
        <v>3497</v>
      </c>
      <c r="R14" s="492">
        <v>9.4000000000000004E-3</v>
      </c>
      <c r="S14" s="492">
        <v>1.694</v>
      </c>
      <c r="T14" s="570">
        <v>254</v>
      </c>
      <c r="U14" s="493">
        <v>0.77</v>
      </c>
      <c r="V14" s="494">
        <v>21.7</v>
      </c>
      <c r="W14" s="495">
        <v>1271</v>
      </c>
      <c r="X14" s="495">
        <v>800</v>
      </c>
      <c r="Y14" s="496">
        <f t="shared" si="4"/>
        <v>0.48473097430925832</v>
      </c>
      <c r="Z14" s="495">
        <v>1902</v>
      </c>
      <c r="AA14" s="496">
        <f t="shared" si="5"/>
        <v>1.1524478914202616</v>
      </c>
      <c r="AB14" s="495">
        <v>1650.4</v>
      </c>
      <c r="AC14" s="497">
        <v>9.1999999999999998E-3</v>
      </c>
      <c r="AD14" s="498">
        <v>1.4690000000000001</v>
      </c>
      <c r="AE14" s="575">
        <v>191</v>
      </c>
      <c r="AF14" s="996">
        <v>3.6960000000000002</v>
      </c>
      <c r="AG14" s="499">
        <v>17.7</v>
      </c>
      <c r="AH14" s="500">
        <v>5896</v>
      </c>
      <c r="AI14" s="500">
        <v>3898</v>
      </c>
      <c r="AJ14" s="501">
        <f t="shared" si="6"/>
        <v>2.4438871473354231</v>
      </c>
      <c r="AK14" s="500">
        <v>7794</v>
      </c>
      <c r="AL14" s="501">
        <f t="shared" si="7"/>
        <v>4.8865203761755485</v>
      </c>
      <c r="AM14" s="500">
        <v>1595</v>
      </c>
      <c r="AN14" s="502">
        <v>1.3100000000000001E-2</v>
      </c>
      <c r="AO14" s="501">
        <v>1.696</v>
      </c>
      <c r="AP14" s="580">
        <v>120</v>
      </c>
      <c r="AQ14" s="503">
        <v>3.786</v>
      </c>
      <c r="AR14" s="504">
        <v>19.899999999999999</v>
      </c>
      <c r="AS14" s="505">
        <v>4388</v>
      </c>
      <c r="AT14" s="505">
        <v>3599</v>
      </c>
      <c r="AU14" s="505">
        <v>6952</v>
      </c>
      <c r="AV14" s="505">
        <v>1159.1500000000001</v>
      </c>
      <c r="AW14" s="506">
        <v>0.01</v>
      </c>
      <c r="AX14" s="507">
        <v>1.661</v>
      </c>
      <c r="AY14" s="586">
        <v>150</v>
      </c>
      <c r="AZ14" s="493" t="s">
        <v>494</v>
      </c>
      <c r="BA14" s="494" t="s">
        <v>493</v>
      </c>
      <c r="BB14" s="495">
        <v>90</v>
      </c>
      <c r="BC14" s="495">
        <v>11</v>
      </c>
      <c r="BD14" s="495">
        <v>186</v>
      </c>
      <c r="BE14" s="495">
        <v>883</v>
      </c>
      <c r="BF14" s="497">
        <v>0.01</v>
      </c>
      <c r="BG14" s="496">
        <v>1.661</v>
      </c>
      <c r="BH14" s="575">
        <v>150</v>
      </c>
      <c r="BI14" s="592"/>
      <c r="BJ14" s="593"/>
      <c r="BK14" s="594">
        <v>631</v>
      </c>
      <c r="BL14" s="594"/>
      <c r="BM14" s="594"/>
      <c r="BN14" s="594"/>
      <c r="BO14" s="593">
        <f>BK14/BK13</f>
        <v>3.6264367816091956</v>
      </c>
      <c r="BP14" s="594">
        <v>449</v>
      </c>
      <c r="BQ14" s="595">
        <v>885</v>
      </c>
      <c r="BR14" s="508"/>
      <c r="BS14" s="508"/>
      <c r="BT14" s="508"/>
      <c r="BU14" s="508"/>
      <c r="BV14" s="508"/>
    </row>
    <row r="15" spans="1:74" x14ac:dyDescent="0.25">
      <c r="A15" s="932">
        <v>2010</v>
      </c>
      <c r="B15" s="484">
        <v>1.889</v>
      </c>
      <c r="C15" s="485">
        <v>11.1</v>
      </c>
      <c r="D15" s="485">
        <v>16600</v>
      </c>
      <c r="E15" s="486">
        <v>13000</v>
      </c>
      <c r="F15" s="487">
        <f t="shared" si="0"/>
        <v>1.4797951052931133</v>
      </c>
      <c r="G15" s="486">
        <v>20200</v>
      </c>
      <c r="H15" s="487">
        <f t="shared" si="1"/>
        <v>2.2993739328400684</v>
      </c>
      <c r="I15" s="488">
        <v>8785</v>
      </c>
      <c r="J15" s="569">
        <v>1.256</v>
      </c>
      <c r="K15" s="489">
        <v>20</v>
      </c>
      <c r="L15" s="490">
        <v>4393</v>
      </c>
      <c r="M15" s="490">
        <v>2719</v>
      </c>
      <c r="N15" s="491">
        <f t="shared" si="2"/>
        <v>0.77752359164998575</v>
      </c>
      <c r="O15" s="490">
        <v>6207</v>
      </c>
      <c r="P15" s="491">
        <f t="shared" si="3"/>
        <v>1.7749499571060909</v>
      </c>
      <c r="Q15" s="490">
        <v>3497</v>
      </c>
      <c r="R15" s="492">
        <v>0.01</v>
      </c>
      <c r="S15" s="492">
        <v>1.7170000000000001</v>
      </c>
      <c r="T15" s="570">
        <v>200</v>
      </c>
      <c r="U15" s="493">
        <v>0.77900000000000003</v>
      </c>
      <c r="V15" s="494">
        <v>25.5</v>
      </c>
      <c r="W15" s="495">
        <v>1286</v>
      </c>
      <c r="X15" s="495">
        <v>688</v>
      </c>
      <c r="Y15" s="496">
        <f t="shared" si="4"/>
        <v>0.41686863790596218</v>
      </c>
      <c r="Z15" s="495">
        <v>1961</v>
      </c>
      <c r="AA15" s="496">
        <f t="shared" si="5"/>
        <v>1.1881968007755694</v>
      </c>
      <c r="AB15" s="495">
        <v>1650.4</v>
      </c>
      <c r="AC15" s="497">
        <v>1.14E-2</v>
      </c>
      <c r="AD15" s="498">
        <v>1.5820000000000001</v>
      </c>
      <c r="AE15" s="575">
        <v>145</v>
      </c>
      <c r="AF15" s="996">
        <v>4.5030000000000001</v>
      </c>
      <c r="AG15" s="499">
        <v>16.7</v>
      </c>
      <c r="AH15" s="500">
        <v>7184</v>
      </c>
      <c r="AI15" s="500">
        <v>4453</v>
      </c>
      <c r="AJ15" s="501">
        <f t="shared" si="6"/>
        <v>2.7918495297805643</v>
      </c>
      <c r="AK15" s="500">
        <v>9425</v>
      </c>
      <c r="AL15" s="501">
        <f t="shared" si="7"/>
        <v>5.9090909090909092</v>
      </c>
      <c r="AM15" s="500">
        <v>1595</v>
      </c>
      <c r="AN15" s="502">
        <v>1.38E-2</v>
      </c>
      <c r="AO15" s="501">
        <v>1.77</v>
      </c>
      <c r="AP15" s="580">
        <v>160</v>
      </c>
      <c r="AQ15" s="503">
        <v>3.1619999999999999</v>
      </c>
      <c r="AR15" s="504">
        <v>28.5</v>
      </c>
      <c r="AS15" s="505">
        <v>3665</v>
      </c>
      <c r="AT15" s="505">
        <v>2248</v>
      </c>
      <c r="AU15" s="505">
        <v>6309</v>
      </c>
      <c r="AV15" s="505">
        <v>1159.1500000000001</v>
      </c>
      <c r="AW15" s="506">
        <v>1.2E-2</v>
      </c>
      <c r="AX15" s="507">
        <v>1.6240000000000001</v>
      </c>
      <c r="AY15" s="586">
        <v>165</v>
      </c>
      <c r="AZ15" s="493" t="s">
        <v>494</v>
      </c>
      <c r="BA15" s="494" t="s">
        <v>493</v>
      </c>
      <c r="BB15" s="495">
        <v>114</v>
      </c>
      <c r="BC15" s="495">
        <v>13</v>
      </c>
      <c r="BD15" s="495">
        <v>241</v>
      </c>
      <c r="BE15" s="495">
        <v>883</v>
      </c>
      <c r="BF15" s="497">
        <v>1.2E-2</v>
      </c>
      <c r="BG15" s="496">
        <v>1.6240000000000001</v>
      </c>
      <c r="BH15" s="575">
        <v>165</v>
      </c>
      <c r="BI15" s="592"/>
      <c r="BJ15" s="593"/>
      <c r="BK15" s="594"/>
      <c r="BL15" s="594"/>
      <c r="BM15" s="594"/>
      <c r="BN15" s="594"/>
      <c r="BO15" s="593"/>
      <c r="BP15" s="594"/>
      <c r="BQ15" s="595"/>
      <c r="BR15" s="508"/>
      <c r="BS15" s="508"/>
      <c r="BT15" s="508"/>
      <c r="BU15" s="508"/>
      <c r="BV15" s="508"/>
    </row>
    <row r="16" spans="1:74" x14ac:dyDescent="0.25">
      <c r="A16" s="932">
        <v>2011</v>
      </c>
      <c r="B16" s="484">
        <v>2.5009999999999999</v>
      </c>
      <c r="C16" s="485">
        <v>12.6</v>
      </c>
      <c r="D16" s="485">
        <v>22000</v>
      </c>
      <c r="E16" s="486">
        <v>16600</v>
      </c>
      <c r="F16" s="487">
        <f t="shared" si="0"/>
        <v>1.8895845190665908</v>
      </c>
      <c r="G16" s="486">
        <v>27400</v>
      </c>
      <c r="H16" s="487">
        <f t="shared" si="1"/>
        <v>3.1189527603870233</v>
      </c>
      <c r="I16" s="488">
        <v>8785</v>
      </c>
      <c r="J16" s="569">
        <v>2.0550000000000002</v>
      </c>
      <c r="K16" s="489">
        <v>17.399999999999999</v>
      </c>
      <c r="L16" s="490">
        <v>7187</v>
      </c>
      <c r="M16" s="490">
        <v>4807</v>
      </c>
      <c r="N16" s="491">
        <f t="shared" si="2"/>
        <v>1.3746068058335716</v>
      </c>
      <c r="O16" s="490">
        <v>9595</v>
      </c>
      <c r="P16" s="491">
        <f t="shared" si="3"/>
        <v>2.7437803831855878</v>
      </c>
      <c r="Q16" s="490">
        <v>3497</v>
      </c>
      <c r="R16" s="492">
        <v>8.8999999999999999E-3</v>
      </c>
      <c r="S16" s="492">
        <v>1.6659999999999999</v>
      </c>
      <c r="T16" s="570">
        <v>289</v>
      </c>
      <c r="U16" s="493">
        <v>0.72099999999999997</v>
      </c>
      <c r="V16" s="494">
        <v>33.4</v>
      </c>
      <c r="W16" s="495">
        <v>1189</v>
      </c>
      <c r="X16" s="495">
        <v>571</v>
      </c>
      <c r="Y16" s="496">
        <f t="shared" si="4"/>
        <v>0.34597673291323311</v>
      </c>
      <c r="Z16" s="495">
        <v>2106</v>
      </c>
      <c r="AA16" s="496">
        <f t="shared" si="5"/>
        <v>1.2760542898691225</v>
      </c>
      <c r="AB16" s="495">
        <v>1650.4</v>
      </c>
      <c r="AC16" s="497">
        <v>1.0999999999999999E-2</v>
      </c>
      <c r="AD16" s="498">
        <v>1.496</v>
      </c>
      <c r="AE16" s="575">
        <v>161</v>
      </c>
      <c r="AF16" s="996">
        <v>4.6609999999999996</v>
      </c>
      <c r="AG16" s="499">
        <v>16.3</v>
      </c>
      <c r="AH16" s="500">
        <v>7436</v>
      </c>
      <c r="AI16" s="500">
        <v>5067</v>
      </c>
      <c r="AJ16" s="501">
        <f t="shared" si="6"/>
        <v>3.1768025078369906</v>
      </c>
      <c r="AK16" s="500">
        <v>9746</v>
      </c>
      <c r="AL16" s="501">
        <f t="shared" si="7"/>
        <v>6.1103448275862071</v>
      </c>
      <c r="AM16" s="500">
        <v>1595</v>
      </c>
      <c r="AN16" s="502">
        <v>1.26E-2</v>
      </c>
      <c r="AO16" s="501">
        <v>1.6779999999999999</v>
      </c>
      <c r="AP16" s="580">
        <v>120</v>
      </c>
      <c r="AQ16" s="503">
        <v>5.1959999999999997</v>
      </c>
      <c r="AR16" s="504">
        <v>34.9</v>
      </c>
      <c r="AS16" s="505">
        <v>6023</v>
      </c>
      <c r="AT16" s="505">
        <v>2782</v>
      </c>
      <c r="AU16" s="505">
        <v>10263</v>
      </c>
      <c r="AV16" s="505">
        <v>1159.1500000000001</v>
      </c>
      <c r="AW16" s="506">
        <v>1.2200000000000001E-2</v>
      </c>
      <c r="AX16" s="507">
        <v>1.6439999999999999</v>
      </c>
      <c r="AY16" s="586">
        <v>145</v>
      </c>
      <c r="AZ16" s="493">
        <v>0.155</v>
      </c>
      <c r="BA16" s="494">
        <v>53</v>
      </c>
      <c r="BB16" s="495">
        <v>137</v>
      </c>
      <c r="BC16" s="495">
        <v>16</v>
      </c>
      <c r="BD16" s="495">
        <v>295</v>
      </c>
      <c r="BE16" s="495">
        <v>883</v>
      </c>
      <c r="BF16" s="497">
        <v>1.2200000000000001E-2</v>
      </c>
      <c r="BG16" s="496">
        <v>1.6439999999999999</v>
      </c>
      <c r="BH16" s="575">
        <v>145</v>
      </c>
      <c r="BI16" s="592"/>
      <c r="BJ16" s="593"/>
      <c r="BK16" s="594"/>
      <c r="BL16" s="594"/>
      <c r="BM16" s="594"/>
      <c r="BN16" s="594"/>
      <c r="BO16" s="593"/>
      <c r="BP16" s="594"/>
      <c r="BQ16" s="595"/>
      <c r="BR16" s="508"/>
      <c r="BS16" s="508"/>
      <c r="BT16" s="508"/>
      <c r="BU16" s="508"/>
      <c r="BV16" s="508"/>
    </row>
    <row r="17" spans="1:81" x14ac:dyDescent="0.25">
      <c r="A17" s="932">
        <v>2012</v>
      </c>
      <c r="B17" s="484">
        <v>2.4</v>
      </c>
      <c r="C17" s="485">
        <v>11.3</v>
      </c>
      <c r="D17" s="485">
        <v>21100</v>
      </c>
      <c r="E17" s="486">
        <v>16400</v>
      </c>
      <c r="F17" s="487">
        <f t="shared" si="0"/>
        <v>1.8668184405236199</v>
      </c>
      <c r="G17" s="486">
        <v>25800</v>
      </c>
      <c r="H17" s="487">
        <f t="shared" si="1"/>
        <v>2.9368241320432555</v>
      </c>
      <c r="I17" s="488">
        <v>8785</v>
      </c>
      <c r="J17" s="569">
        <v>2.4140000000000001</v>
      </c>
      <c r="K17" s="489">
        <v>20.7</v>
      </c>
      <c r="L17" s="490">
        <v>8442</v>
      </c>
      <c r="M17" s="490">
        <v>5090</v>
      </c>
      <c r="N17" s="491">
        <f t="shared" si="2"/>
        <v>1.4555333142693738</v>
      </c>
      <c r="O17" s="490">
        <v>12006</v>
      </c>
      <c r="P17" s="491">
        <f t="shared" si="3"/>
        <v>3.4332284815556191</v>
      </c>
      <c r="Q17" s="490">
        <v>3497</v>
      </c>
      <c r="R17" s="492">
        <v>1.09E-2</v>
      </c>
      <c r="S17" s="492">
        <v>1.847</v>
      </c>
      <c r="T17" s="570">
        <v>164</v>
      </c>
      <c r="U17" s="493">
        <v>0.71899999999999997</v>
      </c>
      <c r="V17" s="494">
        <v>33.5</v>
      </c>
      <c r="W17" s="495">
        <v>1186</v>
      </c>
      <c r="X17" s="495">
        <v>564</v>
      </c>
      <c r="Y17" s="496">
        <f t="shared" si="4"/>
        <v>0.34173533688802715</v>
      </c>
      <c r="Z17" s="495">
        <v>2360</v>
      </c>
      <c r="AA17" s="496">
        <f t="shared" si="5"/>
        <v>1.429956374212312</v>
      </c>
      <c r="AB17" s="495">
        <v>1650.4</v>
      </c>
      <c r="AC17" s="498">
        <v>1.3100000000000001E-2</v>
      </c>
      <c r="AD17" s="498">
        <v>1.4850000000000001</v>
      </c>
      <c r="AE17" s="575">
        <v>106</v>
      </c>
      <c r="AF17" s="996">
        <v>3.9860000000000002</v>
      </c>
      <c r="AG17" s="499">
        <v>15.5</v>
      </c>
      <c r="AH17" s="500">
        <v>6359</v>
      </c>
      <c r="AI17" s="500">
        <v>4136</v>
      </c>
      <c r="AJ17" s="501">
        <f t="shared" si="6"/>
        <v>2.5931034482758619</v>
      </c>
      <c r="AK17" s="500">
        <v>8058</v>
      </c>
      <c r="AL17" s="501">
        <f t="shared" si="7"/>
        <v>5.0520376175548591</v>
      </c>
      <c r="AM17" s="500">
        <v>1595</v>
      </c>
      <c r="AN17" s="510">
        <v>1.12E-2</v>
      </c>
      <c r="AO17" s="501">
        <v>1.7649999999999999</v>
      </c>
      <c r="AP17" s="580">
        <v>186</v>
      </c>
      <c r="AQ17" s="503">
        <v>4.2789999999999999</v>
      </c>
      <c r="AR17" s="504">
        <v>24.9</v>
      </c>
      <c r="AS17" s="505">
        <v>4960</v>
      </c>
      <c r="AT17" s="505">
        <v>3414</v>
      </c>
      <c r="AU17" s="505">
        <v>8011</v>
      </c>
      <c r="AV17" s="505">
        <v>1159.1500000000001</v>
      </c>
      <c r="AW17" s="511">
        <v>1.0699999999999999E-2</v>
      </c>
      <c r="AX17" s="507">
        <v>1.6519999999999999</v>
      </c>
      <c r="AY17" s="586">
        <v>140</v>
      </c>
      <c r="AZ17" s="493" t="s">
        <v>494</v>
      </c>
      <c r="BA17" s="494" t="s">
        <v>493</v>
      </c>
      <c r="BB17" s="495">
        <v>104</v>
      </c>
      <c r="BC17" s="495">
        <v>10</v>
      </c>
      <c r="BD17" s="495">
        <v>206</v>
      </c>
      <c r="BE17" s="495">
        <v>883</v>
      </c>
      <c r="BF17" s="498">
        <v>1.0699999999999999E-2</v>
      </c>
      <c r="BG17" s="496">
        <v>1.6519999999999999</v>
      </c>
      <c r="BH17" s="575">
        <v>140</v>
      </c>
      <c r="BI17" s="592"/>
      <c r="BJ17" s="593"/>
      <c r="BK17" s="594"/>
      <c r="BL17" s="594"/>
      <c r="BM17" s="594"/>
      <c r="BN17" s="594"/>
      <c r="BO17" s="594"/>
      <c r="BP17" s="594"/>
      <c r="BQ17" s="595"/>
      <c r="BR17" s="508"/>
      <c r="BS17" s="508"/>
      <c r="BT17" s="508"/>
      <c r="BU17" s="508"/>
      <c r="BV17" s="508"/>
    </row>
    <row r="18" spans="1:81" x14ac:dyDescent="0.25">
      <c r="A18" s="932">
        <v>2013</v>
      </c>
      <c r="B18" s="484">
        <v>2.2360000000000002</v>
      </c>
      <c r="C18" s="485">
        <v>11.1</v>
      </c>
      <c r="D18" s="485">
        <v>19600</v>
      </c>
      <c r="E18" s="486">
        <v>15400</v>
      </c>
      <c r="F18" s="487">
        <f t="shared" si="0"/>
        <v>1.7529880478087649</v>
      </c>
      <c r="G18" s="486">
        <v>23900</v>
      </c>
      <c r="H18" s="487">
        <f t="shared" si="1"/>
        <v>2.7205463858850312</v>
      </c>
      <c r="I18" s="488">
        <v>8785</v>
      </c>
      <c r="J18" s="569">
        <v>1.2569999999999999</v>
      </c>
      <c r="K18" s="489">
        <v>27.9</v>
      </c>
      <c r="L18" s="490">
        <v>4395</v>
      </c>
      <c r="M18" s="490">
        <v>2298</v>
      </c>
      <c r="N18" s="491">
        <f t="shared" si="2"/>
        <v>0.65713468687446386</v>
      </c>
      <c r="O18" s="490">
        <v>6954</v>
      </c>
      <c r="P18" s="491">
        <f t="shared" si="3"/>
        <v>1.9885616242493567</v>
      </c>
      <c r="Q18" s="490">
        <v>3497</v>
      </c>
      <c r="R18" s="492">
        <v>1.09E-2</v>
      </c>
      <c r="S18" s="492">
        <v>1.6950000000000001</v>
      </c>
      <c r="T18" s="570">
        <v>137</v>
      </c>
      <c r="U18" s="493">
        <v>0.75800000000000001</v>
      </c>
      <c r="V18" s="494">
        <v>19.3</v>
      </c>
      <c r="W18" s="495">
        <v>1251</v>
      </c>
      <c r="X18" s="495">
        <v>889</v>
      </c>
      <c r="Y18" s="496">
        <f t="shared" si="4"/>
        <v>0.53865729520116334</v>
      </c>
      <c r="Z18" s="495">
        <v>1796</v>
      </c>
      <c r="AA18" s="496">
        <f t="shared" si="5"/>
        <v>1.0882210373242849</v>
      </c>
      <c r="AB18" s="495">
        <v>1650.4</v>
      </c>
      <c r="AC18" s="498">
        <v>1.17E-2</v>
      </c>
      <c r="AD18" s="498">
        <v>1.569</v>
      </c>
      <c r="AE18" s="575">
        <v>132</v>
      </c>
      <c r="AF18" s="996">
        <v>4.9390000000000001</v>
      </c>
      <c r="AG18" s="499">
        <v>16.3</v>
      </c>
      <c r="AH18" s="500">
        <v>7880</v>
      </c>
      <c r="AI18" s="500">
        <v>5450</v>
      </c>
      <c r="AJ18" s="501">
        <f t="shared" si="6"/>
        <v>3.4169278996865202</v>
      </c>
      <c r="AK18" s="500">
        <v>10361</v>
      </c>
      <c r="AL18" s="501">
        <f t="shared" si="7"/>
        <v>6.4959247648902823</v>
      </c>
      <c r="AM18" s="500">
        <v>1595</v>
      </c>
      <c r="AN18" s="510">
        <v>1.12E-2</v>
      </c>
      <c r="AO18" s="501">
        <v>1.637</v>
      </c>
      <c r="AP18" s="580">
        <v>160</v>
      </c>
      <c r="AQ18" s="503">
        <v>5.2160000000000002</v>
      </c>
      <c r="AR18" s="504">
        <v>20.5</v>
      </c>
      <c r="AS18" s="505">
        <v>6046</v>
      </c>
      <c r="AT18" s="505">
        <v>4531</v>
      </c>
      <c r="AU18" s="505">
        <v>9282</v>
      </c>
      <c r="AV18" s="505">
        <v>1159.1500000000001</v>
      </c>
      <c r="AW18" s="511">
        <v>1.2800000000000001E-2</v>
      </c>
      <c r="AX18" s="507">
        <v>1.609</v>
      </c>
      <c r="AY18" s="586">
        <v>146</v>
      </c>
      <c r="AZ18" s="493">
        <v>0.08</v>
      </c>
      <c r="BA18" s="494">
        <v>45.4</v>
      </c>
      <c r="BB18" s="495">
        <v>71</v>
      </c>
      <c r="BC18" s="495">
        <v>5</v>
      </c>
      <c r="BD18" s="495">
        <v>118</v>
      </c>
      <c r="BE18" s="495">
        <v>883</v>
      </c>
      <c r="BF18" s="498">
        <v>1.2800000000000001E-2</v>
      </c>
      <c r="BG18" s="496">
        <v>1.607</v>
      </c>
      <c r="BH18" s="575">
        <v>146</v>
      </c>
      <c r="BI18" s="592"/>
      <c r="BJ18" s="593"/>
      <c r="BK18" s="594"/>
      <c r="BL18" s="594"/>
      <c r="BM18" s="594"/>
      <c r="BN18" s="594"/>
      <c r="BO18" s="593"/>
      <c r="BP18" s="594"/>
      <c r="BQ18" s="595"/>
      <c r="BR18" s="508"/>
      <c r="BS18" s="508"/>
      <c r="BT18" s="508"/>
      <c r="BU18" s="508"/>
      <c r="BV18" s="508"/>
    </row>
    <row r="19" spans="1:81" x14ac:dyDescent="0.25">
      <c r="A19" s="932">
        <v>2014</v>
      </c>
      <c r="B19" s="484">
        <v>2.423</v>
      </c>
      <c r="C19" s="485">
        <v>9.1999999999999993</v>
      </c>
      <c r="D19" s="485">
        <v>21300</v>
      </c>
      <c r="E19" s="485">
        <v>17500</v>
      </c>
      <c r="F19" s="487">
        <f t="shared" si="0"/>
        <v>1.9920318725099602</v>
      </c>
      <c r="G19" s="485">
        <v>25100</v>
      </c>
      <c r="H19" s="487">
        <f t="shared" si="1"/>
        <v>2.8571428571428572</v>
      </c>
      <c r="I19" s="512">
        <v>8785</v>
      </c>
      <c r="J19" s="569">
        <v>0.80100000000000005</v>
      </c>
      <c r="K19" s="489">
        <v>20.6</v>
      </c>
      <c r="L19" s="490">
        <v>2801</v>
      </c>
      <c r="M19" s="490">
        <v>1598</v>
      </c>
      <c r="N19" s="491">
        <f t="shared" si="2"/>
        <v>0.45696311123820416</v>
      </c>
      <c r="O19" s="490">
        <v>3876</v>
      </c>
      <c r="P19" s="491">
        <f t="shared" si="3"/>
        <v>1.1083786102373463</v>
      </c>
      <c r="Q19" s="490">
        <v>3497</v>
      </c>
      <c r="R19" s="492">
        <v>1.0200000000000001E-2</v>
      </c>
      <c r="S19" s="492">
        <v>1.6639999999999999</v>
      </c>
      <c r="T19" s="570">
        <v>172</v>
      </c>
      <c r="U19" s="493">
        <v>1.3180000000000001</v>
      </c>
      <c r="V19" s="494">
        <v>30.7</v>
      </c>
      <c r="W19" s="495">
        <v>2176</v>
      </c>
      <c r="X19" s="495">
        <v>1038</v>
      </c>
      <c r="Y19" s="496">
        <f t="shared" si="4"/>
        <v>0.62893843916626269</v>
      </c>
      <c r="Z19" s="495">
        <v>3574</v>
      </c>
      <c r="AA19" s="496">
        <f t="shared" si="5"/>
        <v>2.1655356277266118</v>
      </c>
      <c r="AB19" s="495">
        <v>1650.4</v>
      </c>
      <c r="AC19" s="498">
        <v>1.3100000000000001E-2</v>
      </c>
      <c r="AD19" s="498">
        <v>1.508</v>
      </c>
      <c r="AE19" s="575">
        <v>122</v>
      </c>
      <c r="AF19" s="996">
        <v>5.5410000000000004</v>
      </c>
      <c r="AG19" s="499">
        <v>12.4</v>
      </c>
      <c r="AH19" s="500">
        <v>8841</v>
      </c>
      <c r="AI19" s="500">
        <v>6819</v>
      </c>
      <c r="AJ19" s="501">
        <f t="shared" si="6"/>
        <v>4.275235109717868</v>
      </c>
      <c r="AK19" s="500">
        <v>11276</v>
      </c>
      <c r="AL19" s="501">
        <f t="shared" si="7"/>
        <v>7.0695924764890279</v>
      </c>
      <c r="AM19" s="500">
        <v>1595</v>
      </c>
      <c r="AN19" s="510">
        <v>1.0800000000000001E-2</v>
      </c>
      <c r="AO19" s="501">
        <v>1.72</v>
      </c>
      <c r="AP19" s="580">
        <v>140</v>
      </c>
      <c r="AQ19" s="1450" t="s">
        <v>495</v>
      </c>
      <c r="AR19" s="1457"/>
      <c r="AS19" s="1457"/>
      <c r="AT19" s="1457"/>
      <c r="AU19" s="1457"/>
      <c r="AV19" s="1457"/>
      <c r="AW19" s="1457"/>
      <c r="AX19" s="1457"/>
      <c r="AY19" s="1458"/>
      <c r="AZ19" s="1445" t="s">
        <v>496</v>
      </c>
      <c r="BA19" s="1457"/>
      <c r="BB19" s="1457"/>
      <c r="BC19" s="1457"/>
      <c r="BD19" s="1457"/>
      <c r="BE19" s="1457"/>
      <c r="BF19" s="1457"/>
      <c r="BG19" s="1457"/>
      <c r="BH19" s="1458"/>
      <c r="BI19" s="592"/>
      <c r="BJ19" s="593"/>
      <c r="BK19" s="594"/>
      <c r="BL19" s="594"/>
      <c r="BM19" s="594"/>
      <c r="BN19" s="594"/>
      <c r="BO19" s="593"/>
      <c r="BP19" s="594"/>
      <c r="BQ19" s="595"/>
      <c r="BR19" s="508"/>
      <c r="BS19" s="508"/>
      <c r="BT19" s="508"/>
      <c r="BU19" s="508"/>
      <c r="BV19" s="508"/>
    </row>
    <row r="20" spans="1:81" x14ac:dyDescent="0.25">
      <c r="A20" s="934">
        <v>2015</v>
      </c>
      <c r="B20" s="484">
        <v>2.7469999999999999</v>
      </c>
      <c r="C20" s="485">
        <v>9.5</v>
      </c>
      <c r="D20" s="485">
        <v>24100</v>
      </c>
      <c r="E20" s="485">
        <v>19700</v>
      </c>
      <c r="F20" s="487">
        <f t="shared" si="0"/>
        <v>2.2424587364826407</v>
      </c>
      <c r="G20" s="485">
        <v>28600</v>
      </c>
      <c r="H20" s="487">
        <f t="shared" si="1"/>
        <v>3.2555492316448493</v>
      </c>
      <c r="I20" s="512">
        <v>8785</v>
      </c>
      <c r="J20" s="569">
        <v>1.2270000000000001</v>
      </c>
      <c r="K20" s="489">
        <v>24.1</v>
      </c>
      <c r="L20" s="490">
        <v>4290</v>
      </c>
      <c r="M20" s="490">
        <v>2640</v>
      </c>
      <c r="N20" s="491">
        <f>M20/Q20</f>
        <v>0.75490473616937315</v>
      </c>
      <c r="O20" s="490">
        <v>6565</v>
      </c>
      <c r="P20" s="491">
        <f t="shared" si="3"/>
        <v>1.8772536336939147</v>
      </c>
      <c r="Q20" s="490">
        <v>3497.13</v>
      </c>
      <c r="R20" s="492">
        <v>1.111E-2</v>
      </c>
      <c r="S20" s="492">
        <v>1.786</v>
      </c>
      <c r="T20" s="570">
        <v>191</v>
      </c>
      <c r="U20" s="493">
        <v>1.9410000000000001</v>
      </c>
      <c r="V20" s="494">
        <v>30.4</v>
      </c>
      <c r="W20" s="495">
        <v>3204</v>
      </c>
      <c r="X20" s="495">
        <v>1883</v>
      </c>
      <c r="Y20" s="496">
        <f t="shared" si="4"/>
        <v>1.1409355307804168</v>
      </c>
      <c r="Z20" s="495">
        <v>5609</v>
      </c>
      <c r="AA20" s="496">
        <f t="shared" si="5"/>
        <v>3.3985700436257873</v>
      </c>
      <c r="AB20" s="495">
        <v>1650.4</v>
      </c>
      <c r="AC20" s="498">
        <v>9.2999999999999992E-3</v>
      </c>
      <c r="AD20" s="498">
        <v>1.8660000000000001</v>
      </c>
      <c r="AE20" s="575">
        <v>175</v>
      </c>
      <c r="AF20" s="1477" t="s">
        <v>497</v>
      </c>
      <c r="AG20" s="1478"/>
      <c r="AH20" s="1478"/>
      <c r="AI20" s="1478"/>
      <c r="AJ20" s="1478"/>
      <c r="AK20" s="1478"/>
      <c r="AL20" s="1478"/>
      <c r="AM20" s="1478"/>
      <c r="AN20" s="1478"/>
      <c r="AO20" s="1478"/>
      <c r="AP20" s="1479"/>
      <c r="AQ20" s="503">
        <v>7.5419999999999998</v>
      </c>
      <c r="AR20" s="504">
        <v>16.8</v>
      </c>
      <c r="AS20" s="505">
        <v>8743</v>
      </c>
      <c r="AT20" s="505">
        <v>7409</v>
      </c>
      <c r="AU20" s="505">
        <v>13125</v>
      </c>
      <c r="AV20" s="505">
        <v>1159.1500000000001</v>
      </c>
      <c r="AW20" s="511">
        <v>1.183E-2</v>
      </c>
      <c r="AX20" s="507">
        <v>1.7010000000000001</v>
      </c>
      <c r="AY20" s="586">
        <v>159</v>
      </c>
      <c r="AZ20" s="1445" t="s">
        <v>498</v>
      </c>
      <c r="BA20" s="1457"/>
      <c r="BB20" s="1457"/>
      <c r="BC20" s="1457"/>
      <c r="BD20" s="1457"/>
      <c r="BE20" s="1457"/>
      <c r="BF20" s="1457"/>
      <c r="BG20" s="1457"/>
      <c r="BH20" s="1458"/>
      <c r="BI20" s="592"/>
      <c r="BJ20" s="593"/>
      <c r="BK20" s="594"/>
      <c r="BL20" s="594"/>
      <c r="BM20" s="594"/>
      <c r="BN20" s="594"/>
      <c r="BO20" s="593"/>
      <c r="BP20" s="594"/>
      <c r="BQ20" s="595"/>
      <c r="BR20" s="508"/>
      <c r="BS20" s="508"/>
      <c r="BT20" s="508"/>
      <c r="BU20" s="508"/>
      <c r="BV20" s="508"/>
    </row>
    <row r="21" spans="1:81" x14ac:dyDescent="0.25">
      <c r="A21" s="934">
        <v>2016</v>
      </c>
      <c r="B21" s="484">
        <v>2.5750000000000002</v>
      </c>
      <c r="C21" s="485">
        <v>10</v>
      </c>
      <c r="D21" s="485">
        <v>22600</v>
      </c>
      <c r="E21" s="485">
        <v>18200</v>
      </c>
      <c r="F21" s="487">
        <f t="shared" si="0"/>
        <v>2.0717131474103585</v>
      </c>
      <c r="G21" s="485">
        <v>27100</v>
      </c>
      <c r="H21" s="487">
        <f t="shared" si="1"/>
        <v>3.0848036425725667</v>
      </c>
      <c r="I21" s="512">
        <v>8785</v>
      </c>
      <c r="J21" s="569">
        <v>1.319</v>
      </c>
      <c r="K21" s="489">
        <v>30</v>
      </c>
      <c r="L21" s="490">
        <v>4614</v>
      </c>
      <c r="M21" s="490">
        <v>2298</v>
      </c>
      <c r="N21" s="491">
        <f>M21/Q21</f>
        <v>0.65713468687446386</v>
      </c>
      <c r="O21" s="490">
        <v>7571</v>
      </c>
      <c r="P21" s="491">
        <f t="shared" si="3"/>
        <v>2.1649985702030312</v>
      </c>
      <c r="Q21" s="490">
        <v>3497</v>
      </c>
      <c r="R21" s="492">
        <v>1.1209999999999999E-2</v>
      </c>
      <c r="S21" s="492">
        <v>1.675</v>
      </c>
      <c r="T21" s="557">
        <v>224</v>
      </c>
      <c r="U21" s="1445" t="s">
        <v>499</v>
      </c>
      <c r="V21" s="1446"/>
      <c r="W21" s="1446"/>
      <c r="X21" s="1446"/>
      <c r="Y21" s="1446"/>
      <c r="Z21" s="1446"/>
      <c r="AA21" s="1446"/>
      <c r="AB21" s="1446"/>
      <c r="AC21" s="1446"/>
      <c r="AD21" s="1446"/>
      <c r="AE21" s="1447"/>
      <c r="AF21" s="996">
        <v>4.2709999999999999</v>
      </c>
      <c r="AG21" s="499">
        <v>13.8</v>
      </c>
      <c r="AH21" s="500">
        <v>6813</v>
      </c>
      <c r="AI21" s="500">
        <v>5389</v>
      </c>
      <c r="AJ21" s="501">
        <f>AI21/AM21</f>
        <v>3.3786833855799374</v>
      </c>
      <c r="AK21" s="500">
        <v>8821</v>
      </c>
      <c r="AL21" s="501">
        <f>AK21/AM21</f>
        <v>5.5304075235109718</v>
      </c>
      <c r="AM21" s="500">
        <v>1595</v>
      </c>
      <c r="AN21" s="510">
        <v>1.1610000000000001E-2</v>
      </c>
      <c r="AO21" s="501">
        <v>1.661</v>
      </c>
      <c r="AP21" s="580">
        <v>130</v>
      </c>
      <c r="AQ21" s="1450" t="s">
        <v>499</v>
      </c>
      <c r="AR21" s="1451"/>
      <c r="AS21" s="1451"/>
      <c r="AT21" s="1451"/>
      <c r="AU21" s="1451"/>
      <c r="AV21" s="1451"/>
      <c r="AW21" s="1451"/>
      <c r="AX21" s="1451"/>
      <c r="AY21" s="1452"/>
      <c r="AZ21" s="1445" t="s">
        <v>500</v>
      </c>
      <c r="BA21" s="1457"/>
      <c r="BB21" s="1457"/>
      <c r="BC21" s="1457"/>
      <c r="BD21" s="1457"/>
      <c r="BE21" s="1457"/>
      <c r="BF21" s="1457"/>
      <c r="BG21" s="1457"/>
      <c r="BH21" s="1458"/>
      <c r="BI21" s="592"/>
      <c r="BJ21" s="593"/>
      <c r="BK21" s="594"/>
      <c r="BL21" s="594"/>
      <c r="BM21" s="594"/>
      <c r="BN21" s="594"/>
      <c r="BO21" s="593"/>
      <c r="BP21" s="594"/>
      <c r="BQ21" s="595"/>
      <c r="BR21" s="508"/>
      <c r="BS21" s="508"/>
      <c r="BT21" s="508"/>
      <c r="BU21" s="508"/>
      <c r="BV21" s="508"/>
    </row>
    <row r="22" spans="1:81" x14ac:dyDescent="0.25">
      <c r="A22" s="934">
        <v>2017</v>
      </c>
      <c r="B22" s="484">
        <v>2.62</v>
      </c>
      <c r="C22" s="485">
        <v>10</v>
      </c>
      <c r="D22" s="485">
        <v>23000</v>
      </c>
      <c r="E22" s="485">
        <v>18500</v>
      </c>
      <c r="F22" s="487">
        <f t="shared" si="0"/>
        <v>2.1058622652248151</v>
      </c>
      <c r="G22" s="485">
        <v>27600</v>
      </c>
      <c r="H22" s="487">
        <f t="shared" si="1"/>
        <v>3.1417188389299944</v>
      </c>
      <c r="I22" s="512">
        <v>8785</v>
      </c>
      <c r="J22" s="1461" t="s">
        <v>501</v>
      </c>
      <c r="K22" s="1462"/>
      <c r="L22" s="1462"/>
      <c r="M22" s="1462"/>
      <c r="N22" s="1462"/>
      <c r="O22" s="1462"/>
      <c r="P22" s="1462"/>
      <c r="Q22" s="1462"/>
      <c r="R22" s="1462"/>
      <c r="S22" s="1462"/>
      <c r="T22" s="1463"/>
      <c r="U22" s="493">
        <v>1.0649999999999999</v>
      </c>
      <c r="V22" s="494">
        <v>23.2</v>
      </c>
      <c r="W22" s="495">
        <v>1758</v>
      </c>
      <c r="X22" s="495">
        <v>1041</v>
      </c>
      <c r="Y22" s="496">
        <f t="shared" si="4"/>
        <v>0.63090909090909086</v>
      </c>
      <c r="Z22" s="495">
        <v>2623</v>
      </c>
      <c r="AA22" s="496">
        <f t="shared" si="5"/>
        <v>1.5896969696969696</v>
      </c>
      <c r="AB22" s="495">
        <v>1650</v>
      </c>
      <c r="AC22" s="498">
        <v>9.7000000000000003E-3</v>
      </c>
      <c r="AD22" s="498">
        <v>1.6479999999999999</v>
      </c>
      <c r="AE22" s="928">
        <v>154</v>
      </c>
      <c r="AF22" s="1473" t="s">
        <v>501</v>
      </c>
      <c r="AG22" s="1474"/>
      <c r="AH22" s="1474"/>
      <c r="AI22" s="1474"/>
      <c r="AJ22" s="1474"/>
      <c r="AK22" s="1474"/>
      <c r="AL22" s="1474"/>
      <c r="AM22" s="1474"/>
      <c r="AN22" s="1474"/>
      <c r="AO22" s="1474"/>
      <c r="AP22" s="1475"/>
      <c r="AQ22" s="929">
        <v>7.3730000000000002</v>
      </c>
      <c r="AR22" s="504">
        <v>14.9</v>
      </c>
      <c r="AS22" s="505">
        <v>8546</v>
      </c>
      <c r="AT22" s="505">
        <v>6277</v>
      </c>
      <c r="AU22" s="505">
        <v>11331</v>
      </c>
      <c r="AV22" s="505">
        <v>1159</v>
      </c>
      <c r="AW22" s="511">
        <v>1.18E-2</v>
      </c>
      <c r="AX22" s="507">
        <v>1.66</v>
      </c>
      <c r="AY22" s="586">
        <v>170</v>
      </c>
      <c r="AZ22" s="493">
        <v>0.98799999999999999</v>
      </c>
      <c r="BA22" s="494">
        <v>39</v>
      </c>
      <c r="BB22" s="495">
        <v>872</v>
      </c>
      <c r="BC22" s="495">
        <v>467</v>
      </c>
      <c r="BD22" s="495">
        <v>1698</v>
      </c>
      <c r="BE22" s="495">
        <v>883</v>
      </c>
      <c r="BF22" s="498"/>
      <c r="BG22" s="496"/>
      <c r="BH22" s="575"/>
      <c r="BI22" s="920"/>
      <c r="BJ22" s="921"/>
      <c r="BK22" s="922"/>
      <c r="BL22" s="922"/>
      <c r="BM22" s="922"/>
      <c r="BN22" s="922"/>
      <c r="BO22" s="921"/>
      <c r="BP22" s="922"/>
      <c r="BQ22" s="923"/>
      <c r="BR22" s="508"/>
      <c r="BS22" s="508"/>
      <c r="BT22" s="508"/>
      <c r="BU22" s="508"/>
      <c r="BV22" s="508"/>
    </row>
    <row r="23" spans="1:81" x14ac:dyDescent="0.25">
      <c r="A23" s="934">
        <v>2018</v>
      </c>
      <c r="B23" s="484">
        <v>2.5640000000000001</v>
      </c>
      <c r="C23" s="485">
        <v>11.4</v>
      </c>
      <c r="D23" s="485">
        <v>22500</v>
      </c>
      <c r="E23" s="485">
        <v>17500</v>
      </c>
      <c r="F23" s="487">
        <f t="shared" si="0"/>
        <v>1.9920318725099602</v>
      </c>
      <c r="G23" s="485">
        <v>27600</v>
      </c>
      <c r="H23" s="487">
        <f t="shared" si="1"/>
        <v>3.1417188389299944</v>
      </c>
      <c r="I23" s="512">
        <v>8785</v>
      </c>
      <c r="J23" s="569">
        <v>1.099</v>
      </c>
      <c r="K23" s="489">
        <v>34.6</v>
      </c>
      <c r="L23" s="490">
        <v>3843</v>
      </c>
      <c r="M23" s="490">
        <v>1937</v>
      </c>
      <c r="N23" s="491">
        <f>M23/Q23</f>
        <v>0.55390334572490707</v>
      </c>
      <c r="O23" s="490">
        <v>6901</v>
      </c>
      <c r="P23" s="491">
        <f t="shared" si="3"/>
        <v>1.9734057763797541</v>
      </c>
      <c r="Q23" s="490">
        <v>3497</v>
      </c>
      <c r="R23" s="492">
        <v>8.0000000000000002E-3</v>
      </c>
      <c r="S23" s="492">
        <v>1.744</v>
      </c>
      <c r="T23" s="557">
        <v>242</v>
      </c>
      <c r="U23" s="1448" t="s">
        <v>501</v>
      </c>
      <c r="V23" s="1446"/>
      <c r="W23" s="1446"/>
      <c r="X23" s="1446"/>
      <c r="Y23" s="1446"/>
      <c r="Z23" s="1446"/>
      <c r="AA23" s="1446"/>
      <c r="AB23" s="1446"/>
      <c r="AC23" s="1446"/>
      <c r="AD23" s="1446"/>
      <c r="AE23" s="1449"/>
      <c r="AF23" s="996">
        <v>5.274</v>
      </c>
      <c r="AG23" s="499">
        <v>18.600000000000001</v>
      </c>
      <c r="AH23" s="500">
        <v>8414</v>
      </c>
      <c r="AI23" s="500">
        <v>6026</v>
      </c>
      <c r="AJ23" s="501">
        <f>AI23/AM23</f>
        <v>3.7780564263322884</v>
      </c>
      <c r="AK23" s="500">
        <v>12033</v>
      </c>
      <c r="AL23" s="501">
        <f>AK23/AM23</f>
        <v>7.5442006269592481</v>
      </c>
      <c r="AM23" s="500">
        <v>1595</v>
      </c>
      <c r="AN23" s="510">
        <v>1.23E-2</v>
      </c>
      <c r="AO23" s="501">
        <v>1.64</v>
      </c>
      <c r="AP23" s="580">
        <v>120</v>
      </c>
      <c r="AQ23" s="1450" t="s">
        <v>501</v>
      </c>
      <c r="AR23" s="1451"/>
      <c r="AS23" s="1451"/>
      <c r="AT23" s="1451"/>
      <c r="AU23" s="1451"/>
      <c r="AV23" s="1451"/>
      <c r="AW23" s="1451"/>
      <c r="AX23" s="1451"/>
      <c r="AY23" s="1452"/>
      <c r="AZ23" s="1445" t="s">
        <v>501</v>
      </c>
      <c r="BA23" s="1446"/>
      <c r="BB23" s="1446"/>
      <c r="BC23" s="1446"/>
      <c r="BD23" s="1446"/>
      <c r="BE23" s="1446"/>
      <c r="BF23" s="1446"/>
      <c r="BG23" s="1446"/>
      <c r="BH23" s="1447"/>
      <c r="BI23" s="920"/>
      <c r="BJ23" s="921"/>
      <c r="BK23" s="922"/>
      <c r="BL23" s="922"/>
      <c r="BM23" s="922"/>
      <c r="BN23" s="922"/>
      <c r="BO23" s="921"/>
      <c r="BP23" s="922"/>
      <c r="BQ23" s="923"/>
      <c r="BR23" s="508"/>
      <c r="BS23" s="508"/>
      <c r="BT23" s="508"/>
      <c r="BU23" s="508"/>
      <c r="BV23" s="508"/>
    </row>
    <row r="24" spans="1:81" x14ac:dyDescent="0.25">
      <c r="A24" s="934">
        <v>2019</v>
      </c>
      <c r="B24" s="484">
        <v>2.4169999999999998</v>
      </c>
      <c r="C24" s="485">
        <v>11.5</v>
      </c>
      <c r="D24" s="485">
        <v>21200</v>
      </c>
      <c r="E24" s="485">
        <v>16400</v>
      </c>
      <c r="F24" s="487">
        <f t="shared" si="0"/>
        <v>1.8668184405236199</v>
      </c>
      <c r="G24" s="485">
        <v>26000</v>
      </c>
      <c r="H24" s="487">
        <f t="shared" si="1"/>
        <v>2.9595902105862266</v>
      </c>
      <c r="I24" s="512">
        <v>8785</v>
      </c>
      <c r="J24" s="1461" t="s">
        <v>501</v>
      </c>
      <c r="K24" s="1462"/>
      <c r="L24" s="1462"/>
      <c r="M24" s="1462"/>
      <c r="N24" s="1462"/>
      <c r="O24" s="1462"/>
      <c r="P24" s="1462"/>
      <c r="Q24" s="1462"/>
      <c r="R24" s="1462"/>
      <c r="S24" s="1462"/>
      <c r="T24" s="1463"/>
      <c r="U24" s="493">
        <v>1.004</v>
      </c>
      <c r="V24" s="494">
        <v>30.7</v>
      </c>
      <c r="W24" s="495">
        <v>1657</v>
      </c>
      <c r="X24" s="495">
        <v>745</v>
      </c>
      <c r="Y24" s="496">
        <f t="shared" si="4"/>
        <v>0.45151515151515154</v>
      </c>
      <c r="Z24" s="495">
        <v>2752</v>
      </c>
      <c r="AA24" s="496">
        <f t="shared" si="5"/>
        <v>1.667878787878788</v>
      </c>
      <c r="AB24" s="495">
        <v>1650</v>
      </c>
      <c r="AC24" s="498">
        <v>7.7999999999999996E-3</v>
      </c>
      <c r="AD24" s="498">
        <v>1.8169999999999999</v>
      </c>
      <c r="AE24" s="928">
        <v>179</v>
      </c>
      <c r="AF24" s="1473" t="s">
        <v>501</v>
      </c>
      <c r="AG24" s="1474"/>
      <c r="AH24" s="1474"/>
      <c r="AI24" s="1474"/>
      <c r="AJ24" s="1474"/>
      <c r="AK24" s="1474"/>
      <c r="AL24" s="1474"/>
      <c r="AM24" s="1474"/>
      <c r="AN24" s="1474"/>
      <c r="AO24" s="1474"/>
      <c r="AP24" s="1475"/>
      <c r="AQ24" s="929">
        <v>5.8849999999999998</v>
      </c>
      <c r="AR24" s="504">
        <v>21.9</v>
      </c>
      <c r="AS24" s="505">
        <v>6822</v>
      </c>
      <c r="AT24" s="505">
        <v>5576</v>
      </c>
      <c r="AU24" s="505">
        <v>11063</v>
      </c>
      <c r="AV24" s="505">
        <v>1159</v>
      </c>
      <c r="AW24" s="511">
        <v>1.15E-2</v>
      </c>
      <c r="AX24" s="507">
        <v>1.696</v>
      </c>
      <c r="AY24" s="586">
        <v>118</v>
      </c>
      <c r="AZ24" s="493"/>
      <c r="BA24" s="494"/>
      <c r="BB24" s="495"/>
      <c r="BC24" s="495"/>
      <c r="BD24" s="495"/>
      <c r="BE24" s="495"/>
      <c r="BF24" s="498"/>
      <c r="BG24" s="496"/>
      <c r="BH24" s="575"/>
      <c r="BI24" s="920"/>
      <c r="BJ24" s="921"/>
      <c r="BK24" s="922"/>
      <c r="BL24" s="922"/>
      <c r="BM24" s="922"/>
      <c r="BN24" s="922"/>
      <c r="BO24" s="921"/>
      <c r="BP24" s="922"/>
      <c r="BQ24" s="923"/>
      <c r="BR24" s="508"/>
      <c r="BS24" s="508"/>
      <c r="BT24" s="508"/>
      <c r="BU24" s="508"/>
      <c r="BV24" s="508"/>
    </row>
    <row r="25" spans="1:81" ht="14.55" customHeight="1" x14ac:dyDescent="0.25">
      <c r="A25" s="934">
        <v>2020</v>
      </c>
      <c r="B25" s="484">
        <v>2.2400000000000002</v>
      </c>
      <c r="C25" s="485">
        <v>10.9</v>
      </c>
      <c r="D25" s="485">
        <v>19700</v>
      </c>
      <c r="E25" s="485">
        <v>15500</v>
      </c>
      <c r="F25" s="487">
        <f>E25/I25</f>
        <v>1.7643710870802505</v>
      </c>
      <c r="G25" s="485">
        <v>23900</v>
      </c>
      <c r="H25" s="487">
        <f t="shared" si="1"/>
        <v>2.7205463858850312</v>
      </c>
      <c r="I25" s="512">
        <v>8785</v>
      </c>
      <c r="J25" s="569">
        <v>0.89900000000000002</v>
      </c>
      <c r="K25" s="489">
        <v>21.1</v>
      </c>
      <c r="L25" s="490">
        <v>3143</v>
      </c>
      <c r="M25" s="490">
        <v>2030</v>
      </c>
      <c r="N25" s="491">
        <f>M25/Q25</f>
        <v>0.58049756934515295</v>
      </c>
      <c r="O25" s="490">
        <v>4585</v>
      </c>
      <c r="P25" s="491">
        <f t="shared" si="3"/>
        <v>1.3111238204175006</v>
      </c>
      <c r="Q25" s="490">
        <v>3497</v>
      </c>
      <c r="R25" s="492">
        <v>6.7000000000000002E-3</v>
      </c>
      <c r="S25" s="492">
        <v>1.6559999999999999</v>
      </c>
      <c r="T25" s="557">
        <v>226</v>
      </c>
      <c r="U25" s="1448" t="s">
        <v>501</v>
      </c>
      <c r="V25" s="1446"/>
      <c r="W25" s="1446"/>
      <c r="X25" s="1446"/>
      <c r="Y25" s="1446"/>
      <c r="Z25" s="1446"/>
      <c r="AA25" s="1446"/>
      <c r="AB25" s="1446"/>
      <c r="AC25" s="1446"/>
      <c r="AD25" s="1446"/>
      <c r="AE25" s="1449"/>
      <c r="AF25" s="996">
        <v>5.2389999999999999</v>
      </c>
      <c r="AG25" s="499">
        <v>17.5</v>
      </c>
      <c r="AH25" s="500">
        <v>8359</v>
      </c>
      <c r="AI25" s="500">
        <v>5560</v>
      </c>
      <c r="AJ25" s="501">
        <f>AI25/AM25</f>
        <v>3.4858934169278997</v>
      </c>
      <c r="AK25" s="500">
        <v>11323</v>
      </c>
      <c r="AL25" s="501">
        <f>AK25/AM25</f>
        <v>7.0990595611285263</v>
      </c>
      <c r="AM25" s="500">
        <v>1595</v>
      </c>
      <c r="AN25" s="510">
        <v>1.3100000000000001E-2</v>
      </c>
      <c r="AO25" s="501">
        <v>1.6919999999999999</v>
      </c>
      <c r="AP25" s="580">
        <v>140</v>
      </c>
      <c r="AQ25" s="1450" t="s">
        <v>501</v>
      </c>
      <c r="AR25" s="1451"/>
      <c r="AS25" s="1451"/>
      <c r="AT25" s="1451"/>
      <c r="AU25" s="1451"/>
      <c r="AV25" s="1451"/>
      <c r="AW25" s="1451"/>
      <c r="AX25" s="1451"/>
      <c r="AY25" s="1452"/>
      <c r="AZ25" s="1445" t="s">
        <v>501</v>
      </c>
      <c r="BA25" s="1446"/>
      <c r="BB25" s="1446"/>
      <c r="BC25" s="1446"/>
      <c r="BD25" s="1446"/>
      <c r="BE25" s="1446"/>
      <c r="BF25" s="1446"/>
      <c r="BG25" s="1446"/>
      <c r="BH25" s="1447"/>
      <c r="BI25" s="920"/>
      <c r="BJ25" s="921"/>
      <c r="BK25" s="922"/>
      <c r="BL25" s="922"/>
      <c r="BM25" s="922"/>
      <c r="BN25" s="922"/>
      <c r="BO25" s="921"/>
      <c r="BP25" s="922"/>
      <c r="BQ25" s="923"/>
      <c r="BR25" s="508"/>
      <c r="BS25" s="508"/>
      <c r="BT25" s="508"/>
      <c r="BU25" s="508"/>
      <c r="BV25" s="508"/>
    </row>
    <row r="26" spans="1:81" ht="14.55" customHeight="1" x14ac:dyDescent="0.25">
      <c r="A26" s="934">
        <v>2021</v>
      </c>
      <c r="B26" s="484">
        <v>2.0499999999999998</v>
      </c>
      <c r="C26" s="485">
        <v>11.3</v>
      </c>
      <c r="D26" s="1008">
        <v>18000</v>
      </c>
      <c r="E26" s="1008">
        <v>14000</v>
      </c>
      <c r="F26" s="487">
        <f>E26/I26</f>
        <v>1.593625498007968</v>
      </c>
      <c r="G26" s="1008">
        <v>21900</v>
      </c>
      <c r="H26" s="487">
        <f t="shared" si="1"/>
        <v>2.4928856004553217</v>
      </c>
      <c r="I26" s="512">
        <v>8785</v>
      </c>
      <c r="J26" s="1461" t="s">
        <v>501</v>
      </c>
      <c r="K26" s="1462"/>
      <c r="L26" s="1462"/>
      <c r="M26" s="1462"/>
      <c r="N26" s="1462"/>
      <c r="O26" s="1462"/>
      <c r="P26" s="1462"/>
      <c r="Q26" s="1462"/>
      <c r="R26" s="1462"/>
      <c r="S26" s="1462"/>
      <c r="T26" s="1463"/>
      <c r="U26" s="493">
        <v>0.61699999999999999</v>
      </c>
      <c r="V26" s="494">
        <v>21.5</v>
      </c>
      <c r="W26" s="495">
        <v>1018</v>
      </c>
      <c r="X26" s="495">
        <v>564</v>
      </c>
      <c r="Y26" s="496">
        <f t="shared" si="4"/>
        <v>0.3418181818181818</v>
      </c>
      <c r="Z26" s="495">
        <v>1650</v>
      </c>
      <c r="AA26" s="496">
        <f t="shared" si="5"/>
        <v>1</v>
      </c>
      <c r="AB26" s="495">
        <v>1650</v>
      </c>
      <c r="AC26" s="498">
        <v>5.9999999999999995E-4</v>
      </c>
      <c r="AD26" s="498">
        <v>1.79</v>
      </c>
      <c r="AE26" s="928">
        <v>144</v>
      </c>
      <c r="AF26" s="1473" t="s">
        <v>501</v>
      </c>
      <c r="AG26" s="1474"/>
      <c r="AH26" s="1474"/>
      <c r="AI26" s="1474"/>
      <c r="AJ26" s="1474"/>
      <c r="AK26" s="1474"/>
      <c r="AL26" s="1474"/>
      <c r="AM26" s="1474"/>
      <c r="AN26" s="1474"/>
      <c r="AO26" s="1474"/>
      <c r="AP26" s="1475"/>
      <c r="AQ26" s="929">
        <v>4.4269999999999996</v>
      </c>
      <c r="AR26" s="504">
        <v>22.5</v>
      </c>
      <c r="AS26" s="505">
        <v>5132</v>
      </c>
      <c r="AT26" s="505">
        <v>3739</v>
      </c>
      <c r="AU26" s="505">
        <v>8243</v>
      </c>
      <c r="AV26" s="505">
        <v>1159</v>
      </c>
      <c r="AW26" s="511">
        <v>1.12E-2</v>
      </c>
      <c r="AX26" s="507">
        <v>1.6519999999999999</v>
      </c>
      <c r="AY26" s="586">
        <v>146</v>
      </c>
      <c r="AZ26" s="493">
        <v>0.47299999999999998</v>
      </c>
      <c r="BA26" s="494">
        <v>22.5</v>
      </c>
      <c r="BB26" s="495">
        <v>42</v>
      </c>
      <c r="BC26" s="495">
        <v>0</v>
      </c>
      <c r="BD26" s="495">
        <v>79</v>
      </c>
      <c r="BE26" s="495">
        <v>883</v>
      </c>
      <c r="BF26" s="498"/>
      <c r="BG26" s="496"/>
      <c r="BH26" s="575"/>
      <c r="BI26" s="920"/>
      <c r="BJ26" s="921"/>
      <c r="BK26" s="922"/>
      <c r="BL26" s="922"/>
      <c r="BM26" s="922"/>
      <c r="BN26" s="922"/>
      <c r="BO26" s="921"/>
      <c r="BP26" s="922"/>
      <c r="BQ26" s="923"/>
      <c r="BR26" s="508"/>
      <c r="BS26" s="508"/>
      <c r="BT26" s="508"/>
      <c r="BU26" s="508"/>
      <c r="BV26" s="508"/>
    </row>
    <row r="27" spans="1:81" ht="14.55" customHeight="1" x14ac:dyDescent="0.25">
      <c r="A27" s="934">
        <v>2022</v>
      </c>
      <c r="B27" s="1004"/>
      <c r="C27" s="1005"/>
      <c r="D27" s="1006"/>
      <c r="E27" s="1006"/>
      <c r="F27" s="1007"/>
      <c r="G27" s="1006"/>
      <c r="H27" s="1007"/>
      <c r="I27" s="956"/>
      <c r="J27" s="569">
        <v>1.0860000000000001</v>
      </c>
      <c r="K27" s="489">
        <v>14</v>
      </c>
      <c r="L27" s="490">
        <v>3797</v>
      </c>
      <c r="M27" s="490">
        <v>2781</v>
      </c>
      <c r="N27" s="491">
        <f>M27/Q27</f>
        <v>0.795253074063483</v>
      </c>
      <c r="O27" s="490">
        <v>3497</v>
      </c>
      <c r="P27" s="491">
        <f t="shared" ref="P27" si="8">O27/Q27</f>
        <v>1</v>
      </c>
      <c r="Q27" s="490">
        <v>3497</v>
      </c>
      <c r="R27" s="492">
        <v>6.7000000000000002E-3</v>
      </c>
      <c r="S27" s="492">
        <v>1.871</v>
      </c>
      <c r="T27" s="557">
        <v>211</v>
      </c>
      <c r="U27" s="493"/>
      <c r="V27" s="494"/>
      <c r="W27" s="495"/>
      <c r="X27" s="495"/>
      <c r="Y27" s="496"/>
      <c r="Z27" s="495"/>
      <c r="AA27" s="496"/>
      <c r="AB27" s="495"/>
      <c r="AC27" s="498"/>
      <c r="AD27" s="498"/>
      <c r="AE27" s="928"/>
      <c r="AF27" s="1002">
        <v>5.17</v>
      </c>
      <c r="AG27" s="499">
        <v>19.8</v>
      </c>
      <c r="AH27" s="500">
        <v>8249</v>
      </c>
      <c r="AI27" s="500">
        <v>5405</v>
      </c>
      <c r="AJ27" s="501">
        <f>AI27/AM27</f>
        <v>3.3887147335423196</v>
      </c>
      <c r="AK27" s="500">
        <v>11901</v>
      </c>
      <c r="AL27" s="501">
        <f>AK27/AM27</f>
        <v>7.4614420062695928</v>
      </c>
      <c r="AM27" s="500">
        <v>1595</v>
      </c>
      <c r="AN27" s="510">
        <v>1.1900000000000001E-2</v>
      </c>
      <c r="AO27" s="501">
        <v>1.879</v>
      </c>
      <c r="AP27" s="580">
        <v>100</v>
      </c>
      <c r="AQ27" s="929"/>
      <c r="AR27" s="504"/>
      <c r="AS27" s="505"/>
      <c r="AT27" s="505"/>
      <c r="AU27" s="505"/>
      <c r="AV27" s="505"/>
      <c r="AW27" s="511"/>
      <c r="AX27" s="507"/>
      <c r="AY27" s="586"/>
      <c r="AZ27" s="493"/>
      <c r="BA27" s="494"/>
      <c r="BB27" s="495"/>
      <c r="BC27" s="495"/>
      <c r="BD27" s="495"/>
      <c r="BE27" s="495"/>
      <c r="BF27" s="498"/>
      <c r="BG27" s="496"/>
      <c r="BH27" s="575"/>
      <c r="BI27" s="920"/>
      <c r="BJ27" s="921"/>
      <c r="BK27" s="922"/>
      <c r="BL27" s="922"/>
      <c r="BM27" s="922"/>
      <c r="BN27" s="922"/>
      <c r="BO27" s="921"/>
      <c r="BP27" s="922"/>
      <c r="BQ27" s="923"/>
      <c r="BR27" s="508"/>
      <c r="BS27" s="508"/>
      <c r="BT27" s="508"/>
      <c r="BU27" s="508"/>
      <c r="BV27" s="508"/>
    </row>
    <row r="28" spans="1:81" s="596" customFormat="1" ht="17.25" customHeight="1" thickBot="1" x14ac:dyDescent="0.35">
      <c r="A28" s="599" t="s">
        <v>502</v>
      </c>
      <c r="B28" s="600">
        <f>AVERAGE(B22:B26)</f>
        <v>2.3782000000000005</v>
      </c>
      <c r="C28" s="601"/>
      <c r="D28" s="930">
        <f>AVERAGE(D22:D26)</f>
        <v>20880</v>
      </c>
      <c r="E28" s="930">
        <f>AVERAGE(E22:E26)</f>
        <v>16380</v>
      </c>
      <c r="F28" s="930">
        <f>AVERAGE(F22:F26)</f>
        <v>1.8645418326693224</v>
      </c>
      <c r="G28" s="930">
        <f>AVERAGE(G22:G26)</f>
        <v>25400</v>
      </c>
      <c r="H28" s="930">
        <f>AVERAGE(H22:H26)</f>
        <v>2.8912919749573138</v>
      </c>
      <c r="I28" s="602"/>
      <c r="J28" s="600">
        <f>AVERAGE(J20:J21,J23,J25,J27)</f>
        <v>1.1260000000000001</v>
      </c>
      <c r="K28" s="601"/>
      <c r="L28" s="930">
        <f>AVERAGE(L20:L21,L23,L25,L27)</f>
        <v>3937.4</v>
      </c>
      <c r="M28" s="930">
        <f t="shared" ref="M28:O28" si="9">AVERAGE(M20:M21,M23,M25,M27)</f>
        <v>2337.1999999999998</v>
      </c>
      <c r="N28" s="600">
        <f t="shared" si="9"/>
        <v>0.66833868243547601</v>
      </c>
      <c r="O28" s="930">
        <f t="shared" si="9"/>
        <v>5823.8</v>
      </c>
      <c r="P28" s="600">
        <f t="shared" ref="P28" si="10">AVERAGE(P19:P21,P23,P25)</f>
        <v>1.6870320821863092</v>
      </c>
      <c r="Q28" s="603"/>
      <c r="R28" s="603"/>
      <c r="S28" s="603"/>
      <c r="T28" s="604"/>
      <c r="U28" s="600">
        <f>AVERAGE(U19:U20,U22,U24,U26)</f>
        <v>1.1889999999999998</v>
      </c>
      <c r="V28" s="600"/>
      <c r="W28" s="930">
        <f t="shared" ref="W28:AA28" si="11">AVERAGE(W19:W20,W22,W24,W26)</f>
        <v>1962.6</v>
      </c>
      <c r="X28" s="930">
        <f t="shared" si="11"/>
        <v>1054.2</v>
      </c>
      <c r="Y28" s="600">
        <f t="shared" si="11"/>
        <v>0.63882327883782075</v>
      </c>
      <c r="Z28" s="930">
        <f t="shared" si="11"/>
        <v>3241.6</v>
      </c>
      <c r="AA28" s="600">
        <f t="shared" si="11"/>
        <v>1.9643362857856315</v>
      </c>
      <c r="AB28" s="601"/>
      <c r="AC28" s="601"/>
      <c r="AD28" s="601"/>
      <c r="AE28" s="602"/>
      <c r="AF28" s="600">
        <f>AVERAGE(AF19,AF21,AF23,AF25,AF27)</f>
        <v>5.0990000000000011</v>
      </c>
      <c r="AG28" s="601"/>
      <c r="AH28" s="930">
        <f>AVERAGE(AH19,AH21,AH23,AH25,AH27)</f>
        <v>8135.2</v>
      </c>
      <c r="AI28" s="930">
        <f>AVERAGE(AI19,AI21,AI23,AI25,AI27)</f>
        <v>5839.8</v>
      </c>
      <c r="AJ28" s="600">
        <f>AVERAGE(AJ19,AJ21,AJ23,AJ25,AJ27)</f>
        <v>3.6613166144200626</v>
      </c>
      <c r="AK28" s="930">
        <f>AVERAGE(AK19,AK21,AK23,AK25,AK27)</f>
        <v>11070.8</v>
      </c>
      <c r="AL28" s="600">
        <f>AVERAGE(AL19,AL21,AL23,AL25,AL27)</f>
        <v>6.9409404388714737</v>
      </c>
      <c r="AM28" s="601"/>
      <c r="AN28" s="601"/>
      <c r="AO28" s="601"/>
      <c r="AP28" s="602"/>
      <c r="AQ28" s="600">
        <f>AVERAGE(AQ18,AQ20,AQ22,AQ24,AQ26)</f>
        <v>6.0885999999999996</v>
      </c>
      <c r="AR28" s="600"/>
      <c r="AS28" s="930">
        <f>AVERAGE(AS18,AS20,AS22,AS24,AS26)</f>
        <v>7057.8</v>
      </c>
      <c r="AT28" s="930">
        <f>AVERAGE(AT18,AT20,AT22,AT24,AT26)</f>
        <v>5506.4</v>
      </c>
      <c r="AU28" s="930">
        <f>AVERAGE(AU18,AU20,AU22,AU24,AU26)</f>
        <v>10608.8</v>
      </c>
      <c r="AV28" s="930">
        <f>AVERAGE(AV18,AV20,AV22,AV24,AV26)</f>
        <v>1159.06</v>
      </c>
      <c r="AW28" s="930">
        <f>AVERAGE(AW18,AW20,AW22,AW24,AW26)</f>
        <v>1.1826E-2</v>
      </c>
      <c r="AX28" s="605"/>
      <c r="AY28" s="602"/>
      <c r="AZ28" s="606">
        <f>AVERAGE(AZ22,AZ18,AZ16,AZ13,AZ12)</f>
        <v>0.26640000000000003</v>
      </c>
      <c r="BA28" s="605"/>
      <c r="BB28" s="931">
        <f>AVERAGE(BB22,BB18,BB16,BB13,BB12)</f>
        <v>235.4</v>
      </c>
      <c r="BC28" s="931">
        <f>AVERAGE(BC22,BC18,BC16,BC13,BC12)</f>
        <v>124.25</v>
      </c>
      <c r="BD28" s="931">
        <f>AVERAGE(BD22,BD18,BD16,BD13,BD12)</f>
        <v>458.4</v>
      </c>
      <c r="BE28" s="605"/>
      <c r="BF28" s="605"/>
      <c r="BG28" s="607"/>
      <c r="BH28" s="602"/>
      <c r="BI28" s="608"/>
      <c r="BJ28" s="605"/>
      <c r="BK28" s="605"/>
      <c r="BL28" s="605"/>
      <c r="BM28" s="605"/>
      <c r="BN28" s="605"/>
      <c r="BO28" s="605"/>
      <c r="BP28" s="605"/>
      <c r="BQ28" s="602"/>
    </row>
    <row r="29" spans="1:81" x14ac:dyDescent="0.25">
      <c r="V29" s="514"/>
    </row>
    <row r="30" spans="1:81" s="639" customFormat="1" ht="14.4" thickBot="1" x14ac:dyDescent="0.3"/>
    <row r="31" spans="1:81" ht="17.399999999999999" x14ac:dyDescent="0.3">
      <c r="A31" s="471"/>
      <c r="B31" s="515" t="s">
        <v>503</v>
      </c>
      <c r="C31" s="516"/>
      <c r="D31" s="516"/>
      <c r="E31" s="516"/>
      <c r="F31" s="516"/>
      <c r="G31" s="642"/>
      <c r="H31" s="516"/>
      <c r="I31" s="616"/>
      <c r="J31" s="517" t="s">
        <v>504</v>
      </c>
      <c r="K31" s="518"/>
      <c r="L31" s="518"/>
      <c r="M31" s="518"/>
      <c r="N31" s="518"/>
      <c r="O31" s="518"/>
      <c r="P31" s="518"/>
      <c r="Q31" s="620"/>
      <c r="R31" s="517" t="s">
        <v>505</v>
      </c>
      <c r="S31" s="518"/>
      <c r="T31" s="518"/>
      <c r="U31" s="518"/>
      <c r="V31" s="518"/>
      <c r="W31" s="518"/>
      <c r="X31" s="519"/>
      <c r="Y31" s="620"/>
      <c r="Z31" s="520" t="s">
        <v>506</v>
      </c>
      <c r="AA31" s="521"/>
      <c r="AB31" s="522"/>
      <c r="AC31" s="522"/>
      <c r="AD31" s="522"/>
      <c r="AE31" s="522"/>
      <c r="AF31" s="522"/>
      <c r="AG31" s="628"/>
      <c r="AH31" s="520" t="s">
        <v>507</v>
      </c>
      <c r="AI31" s="522"/>
      <c r="AJ31" s="522"/>
      <c r="AK31" s="522"/>
      <c r="AL31" s="522"/>
      <c r="AM31" s="522"/>
      <c r="AN31" s="523"/>
      <c r="AO31" s="628"/>
      <c r="AP31" s="609" t="s">
        <v>508</v>
      </c>
      <c r="AQ31" s="610"/>
      <c r="AR31" s="610"/>
      <c r="AS31" s="610"/>
      <c r="AT31" s="611"/>
      <c r="AU31" s="612"/>
      <c r="AV31" s="612"/>
      <c r="AW31" s="631"/>
      <c r="AX31" s="609" t="s">
        <v>509</v>
      </c>
      <c r="AY31" s="610"/>
      <c r="AZ31" s="610"/>
      <c r="BA31" s="610"/>
      <c r="BB31" s="610"/>
      <c r="BC31" s="610"/>
      <c r="BD31" s="611"/>
      <c r="BE31" s="632"/>
      <c r="BF31" s="517" t="s">
        <v>510</v>
      </c>
      <c r="BG31" s="518"/>
      <c r="BH31" s="518"/>
      <c r="BI31" s="518"/>
      <c r="BJ31" s="518"/>
      <c r="BK31" s="620"/>
      <c r="BL31" s="517" t="s">
        <v>511</v>
      </c>
      <c r="BM31" s="518"/>
      <c r="BN31" s="518"/>
      <c r="BO31" s="518"/>
      <c r="BP31" s="518"/>
      <c r="BQ31" s="620"/>
      <c r="BR31" s="613" t="s">
        <v>512</v>
      </c>
      <c r="BS31" s="614"/>
      <c r="BT31" s="614"/>
      <c r="BU31" s="614"/>
      <c r="BV31" s="614"/>
      <c r="BW31" s="615"/>
      <c r="BX31" s="613" t="s">
        <v>513</v>
      </c>
      <c r="BY31" s="614"/>
      <c r="BZ31" s="614"/>
      <c r="CA31" s="614"/>
      <c r="CB31" s="614"/>
      <c r="CC31" s="615"/>
    </row>
    <row r="32" spans="1:81" s="483" customFormat="1" ht="81.75" customHeight="1" x14ac:dyDescent="0.25">
      <c r="A32" s="473" t="s">
        <v>476</v>
      </c>
      <c r="B32" s="524" t="s">
        <v>477</v>
      </c>
      <c r="C32" s="525" t="s">
        <v>478</v>
      </c>
      <c r="D32" s="525" t="s">
        <v>348</v>
      </c>
      <c r="E32" s="525" t="s">
        <v>479</v>
      </c>
      <c r="F32" s="525" t="s">
        <v>514</v>
      </c>
      <c r="G32" s="641" t="s">
        <v>481</v>
      </c>
      <c r="H32" s="525" t="s">
        <v>515</v>
      </c>
      <c r="I32" s="617" t="s">
        <v>483</v>
      </c>
      <c r="J32" s="526" t="s">
        <v>477</v>
      </c>
      <c r="K32" s="478" t="s">
        <v>478</v>
      </c>
      <c r="L32" s="478" t="s">
        <v>348</v>
      </c>
      <c r="M32" s="478" t="s">
        <v>479</v>
      </c>
      <c r="N32" s="478" t="s">
        <v>516</v>
      </c>
      <c r="O32" s="478" t="s">
        <v>481</v>
      </c>
      <c r="P32" s="478" t="s">
        <v>517</v>
      </c>
      <c r="Q32" s="574" t="s">
        <v>483</v>
      </c>
      <c r="R32" s="527" t="s">
        <v>477</v>
      </c>
      <c r="S32" s="479" t="s">
        <v>478</v>
      </c>
      <c r="T32" s="479" t="s">
        <v>348</v>
      </c>
      <c r="U32" s="479" t="s">
        <v>479</v>
      </c>
      <c r="V32" s="479" t="s">
        <v>516</v>
      </c>
      <c r="W32" s="479" t="s">
        <v>481</v>
      </c>
      <c r="X32" s="479" t="s">
        <v>517</v>
      </c>
      <c r="Y32" s="579" t="s">
        <v>483</v>
      </c>
      <c r="Z32" s="528" t="s">
        <v>477</v>
      </c>
      <c r="AA32" s="529" t="s">
        <v>478</v>
      </c>
      <c r="AB32" s="529" t="s">
        <v>348</v>
      </c>
      <c r="AC32" s="529" t="s">
        <v>479</v>
      </c>
      <c r="AD32" s="529" t="s">
        <v>516</v>
      </c>
      <c r="AE32" s="529" t="s">
        <v>481</v>
      </c>
      <c r="AF32" s="529" t="s">
        <v>517</v>
      </c>
      <c r="AG32" s="629" t="s">
        <v>483</v>
      </c>
      <c r="AH32" s="524" t="s">
        <v>477</v>
      </c>
      <c r="AI32" s="525" t="s">
        <v>478</v>
      </c>
      <c r="AJ32" s="525" t="s">
        <v>348</v>
      </c>
      <c r="AK32" s="525" t="s">
        <v>479</v>
      </c>
      <c r="AL32" s="525" t="s">
        <v>516</v>
      </c>
      <c r="AM32" s="525" t="s">
        <v>481</v>
      </c>
      <c r="AN32" s="525" t="s">
        <v>517</v>
      </c>
      <c r="AO32" s="617" t="s">
        <v>483</v>
      </c>
      <c r="AP32" s="474" t="s">
        <v>477</v>
      </c>
      <c r="AQ32" s="475" t="s">
        <v>478</v>
      </c>
      <c r="AR32" s="475" t="s">
        <v>348</v>
      </c>
      <c r="AS32" s="475" t="s">
        <v>479</v>
      </c>
      <c r="AT32" s="475" t="s">
        <v>516</v>
      </c>
      <c r="AU32" s="475" t="s">
        <v>481</v>
      </c>
      <c r="AV32" s="475" t="s">
        <v>516</v>
      </c>
      <c r="AW32" s="476" t="s">
        <v>483</v>
      </c>
      <c r="AX32" s="528" t="s">
        <v>477</v>
      </c>
      <c r="AY32" s="529" t="s">
        <v>478</v>
      </c>
      <c r="AZ32" s="529" t="s">
        <v>348</v>
      </c>
      <c r="BA32" s="529" t="s">
        <v>479</v>
      </c>
      <c r="BB32" s="529" t="s">
        <v>516</v>
      </c>
      <c r="BC32" s="529" t="s">
        <v>481</v>
      </c>
      <c r="BD32" s="529" t="s">
        <v>517</v>
      </c>
      <c r="BE32" s="629" t="s">
        <v>483</v>
      </c>
      <c r="BF32" s="530" t="s">
        <v>477</v>
      </c>
      <c r="BG32" s="477" t="s">
        <v>478</v>
      </c>
      <c r="BH32" s="477" t="s">
        <v>348</v>
      </c>
      <c r="BI32" s="477" t="s">
        <v>479</v>
      </c>
      <c r="BJ32" s="477" t="s">
        <v>481</v>
      </c>
      <c r="BK32" s="533" t="s">
        <v>483</v>
      </c>
      <c r="BL32" s="531" t="s">
        <v>477</v>
      </c>
      <c r="BM32" s="532" t="s">
        <v>478</v>
      </c>
      <c r="BN32" s="532" t="s">
        <v>348</v>
      </c>
      <c r="BO32" s="532" t="s">
        <v>479</v>
      </c>
      <c r="BP32" s="532" t="s">
        <v>481</v>
      </c>
      <c r="BQ32" s="636" t="s">
        <v>483</v>
      </c>
      <c r="BR32" s="524" t="s">
        <v>477</v>
      </c>
      <c r="BS32" s="525" t="s">
        <v>478</v>
      </c>
      <c r="BT32" s="525" t="s">
        <v>348</v>
      </c>
      <c r="BU32" s="525" t="s">
        <v>479</v>
      </c>
      <c r="BV32" s="525" t="s">
        <v>481</v>
      </c>
      <c r="BW32" s="617" t="s">
        <v>483</v>
      </c>
      <c r="BX32" s="530" t="s">
        <v>477</v>
      </c>
      <c r="BY32" s="477" t="s">
        <v>478</v>
      </c>
      <c r="BZ32" s="477" t="s">
        <v>348</v>
      </c>
      <c r="CA32" s="477" t="s">
        <v>479</v>
      </c>
      <c r="CB32" s="477" t="s">
        <v>481</v>
      </c>
      <c r="CC32" s="533" t="s">
        <v>483</v>
      </c>
    </row>
    <row r="33" spans="1:81" x14ac:dyDescent="0.25">
      <c r="A33" s="932">
        <v>2001</v>
      </c>
      <c r="B33" s="534">
        <v>4.5060000000000002</v>
      </c>
      <c r="C33" s="535">
        <v>23.1</v>
      </c>
      <c r="D33" s="536">
        <v>3809</v>
      </c>
      <c r="E33" s="536">
        <v>2432</v>
      </c>
      <c r="F33" s="537">
        <f>E33/I33</f>
        <v>2.8774254614292474</v>
      </c>
      <c r="G33" s="538">
        <v>5689</v>
      </c>
      <c r="H33" s="539">
        <f>G33/I33</f>
        <v>6.730951254141031</v>
      </c>
      <c r="I33" s="618">
        <v>845.2</v>
      </c>
      <c r="J33" s="540">
        <v>1.764</v>
      </c>
      <c r="K33" s="494">
        <v>21.4</v>
      </c>
      <c r="L33" s="495">
        <v>2111</v>
      </c>
      <c r="M33" s="495">
        <v>948</v>
      </c>
      <c r="N33" s="496">
        <f>M33/Q33</f>
        <v>0.79264214046822745</v>
      </c>
      <c r="O33" s="495">
        <v>2816</v>
      </c>
      <c r="P33" s="541">
        <f>O33/Q33</f>
        <v>2.3545150501672243</v>
      </c>
      <c r="Q33" s="621">
        <v>1196</v>
      </c>
      <c r="R33" s="542">
        <v>2.0670000000000002</v>
      </c>
      <c r="S33" s="499">
        <v>37.200000000000003</v>
      </c>
      <c r="T33" s="500">
        <v>3016</v>
      </c>
      <c r="U33" s="500">
        <v>404</v>
      </c>
      <c r="V33" s="501">
        <f>U33/Y33</f>
        <v>0.27690198766278273</v>
      </c>
      <c r="W33" s="500">
        <v>5003</v>
      </c>
      <c r="X33" s="560">
        <f>W33/Y33</f>
        <v>3.429061000685401</v>
      </c>
      <c r="Y33" s="625">
        <v>1459</v>
      </c>
      <c r="Z33" s="543">
        <v>1.976</v>
      </c>
      <c r="AA33" s="544">
        <v>36.4</v>
      </c>
      <c r="AB33" s="545">
        <v>1436</v>
      </c>
      <c r="AC33" s="545">
        <v>424</v>
      </c>
      <c r="AD33" s="546">
        <f>AC33/AG33</f>
        <v>0.58321870701513068</v>
      </c>
      <c r="AE33" s="545">
        <v>2416</v>
      </c>
      <c r="AF33" s="546">
        <f>AE33/AG33</f>
        <v>3.3232462173314992</v>
      </c>
      <c r="AG33" s="630">
        <v>727</v>
      </c>
      <c r="AH33" s="534">
        <v>0.68500000000000005</v>
      </c>
      <c r="AI33" s="535">
        <v>75.7</v>
      </c>
      <c r="AJ33" s="536">
        <v>658</v>
      </c>
      <c r="AK33" s="536">
        <v>131</v>
      </c>
      <c r="AL33" s="537">
        <f>AK33/AO33</f>
        <v>0.13631633714880334</v>
      </c>
      <c r="AM33" s="536">
        <v>1674</v>
      </c>
      <c r="AN33" s="548">
        <f>AM33/AO33</f>
        <v>1.7419354838709677</v>
      </c>
      <c r="AO33" s="618">
        <v>961</v>
      </c>
      <c r="AP33" s="549">
        <v>1.724</v>
      </c>
      <c r="AQ33" s="550">
        <v>23</v>
      </c>
      <c r="AR33" s="486">
        <v>1140</v>
      </c>
      <c r="AS33" s="486">
        <v>657</v>
      </c>
      <c r="AT33" s="487">
        <f>AS33/AW33</f>
        <v>0.99394856278366117</v>
      </c>
      <c r="AU33" s="486">
        <v>1700</v>
      </c>
      <c r="AV33" s="551">
        <f>AU33/AW33</f>
        <v>2.571860816944024</v>
      </c>
      <c r="AW33" s="512">
        <v>661</v>
      </c>
      <c r="AX33" s="543">
        <v>6.6950000000000003</v>
      </c>
      <c r="AY33" s="544">
        <v>14.1</v>
      </c>
      <c r="AZ33" s="545">
        <v>6257</v>
      </c>
      <c r="BA33" s="545">
        <v>4241</v>
      </c>
      <c r="BB33" s="546">
        <f>BA33/BE33</f>
        <v>4.5358288770053479</v>
      </c>
      <c r="BC33" s="545">
        <v>7814</v>
      </c>
      <c r="BD33" s="547">
        <f>BC33/BE33</f>
        <v>8.3572192513368986</v>
      </c>
      <c r="BE33" s="633">
        <v>935</v>
      </c>
      <c r="BF33" s="552">
        <v>4.57</v>
      </c>
      <c r="BG33" s="489">
        <v>24.9</v>
      </c>
      <c r="BH33" s="490">
        <v>3353</v>
      </c>
      <c r="BI33" s="490">
        <v>2497</v>
      </c>
      <c r="BJ33" s="490">
        <v>5781</v>
      </c>
      <c r="BK33" s="557">
        <v>733.73</v>
      </c>
      <c r="BL33" s="554">
        <v>1.0720000000000001</v>
      </c>
      <c r="BM33" s="555">
        <v>7.4</v>
      </c>
      <c r="BN33" s="556">
        <v>456</v>
      </c>
      <c r="BO33" s="556">
        <v>320</v>
      </c>
      <c r="BP33" s="556">
        <v>896</v>
      </c>
      <c r="BQ33" s="637">
        <v>425.42</v>
      </c>
      <c r="BR33" s="534">
        <v>0.19800000000000001</v>
      </c>
      <c r="BS33" s="535">
        <v>173.1</v>
      </c>
      <c r="BT33" s="536">
        <v>87</v>
      </c>
      <c r="BU33" s="536" t="s">
        <v>518</v>
      </c>
      <c r="BV33" s="536">
        <v>147</v>
      </c>
      <c r="BW33" s="618">
        <v>441</v>
      </c>
      <c r="BX33" s="552">
        <v>3.2000000000000001E-2</v>
      </c>
      <c r="BY33" s="489">
        <v>129.1</v>
      </c>
      <c r="BZ33" s="490">
        <v>14</v>
      </c>
      <c r="CA33" s="490" t="s">
        <v>518</v>
      </c>
      <c r="CB33" s="490">
        <v>57</v>
      </c>
      <c r="CC33" s="557">
        <v>441</v>
      </c>
    </row>
    <row r="34" spans="1:81" x14ac:dyDescent="0.25">
      <c r="A34" s="932">
        <v>2002</v>
      </c>
      <c r="B34" s="534">
        <v>7.2069999999999999</v>
      </c>
      <c r="C34" s="535">
        <v>32.799999999999997</v>
      </c>
      <c r="D34" s="536">
        <v>6092</v>
      </c>
      <c r="E34" s="536">
        <v>2716</v>
      </c>
      <c r="F34" s="537">
        <f t="shared" ref="F34:F54" si="12">E34/I34</f>
        <v>3.2134406057737812</v>
      </c>
      <c r="G34" s="538">
        <v>9782</v>
      </c>
      <c r="H34" s="539">
        <f t="shared" ref="H34:H48" si="13">G34/I34</f>
        <v>11.573592049219119</v>
      </c>
      <c r="I34" s="618">
        <v>845.2</v>
      </c>
      <c r="J34" s="540">
        <v>1.879</v>
      </c>
      <c r="K34" s="494">
        <v>26.9</v>
      </c>
      <c r="L34" s="495">
        <v>2248</v>
      </c>
      <c r="M34" s="495">
        <v>909</v>
      </c>
      <c r="N34" s="496">
        <f t="shared" ref="N34:N45" si="14">M34/Q34</f>
        <v>0.76003344481605351</v>
      </c>
      <c r="O34" s="495">
        <v>3309</v>
      </c>
      <c r="P34" s="541">
        <f t="shared" ref="P34:P50" si="15">O34/Q34</f>
        <v>2.7667224080267561</v>
      </c>
      <c r="Q34" s="621">
        <v>1196</v>
      </c>
      <c r="R34" s="542">
        <v>0.97199999999999998</v>
      </c>
      <c r="S34" s="499">
        <v>34.700000000000003</v>
      </c>
      <c r="T34" s="500">
        <v>1419</v>
      </c>
      <c r="U34" s="500">
        <v>580</v>
      </c>
      <c r="V34" s="501">
        <f t="shared" ref="V34:V45" si="16">U34/Y34</f>
        <v>0.39753255654557917</v>
      </c>
      <c r="W34" s="500">
        <v>2515</v>
      </c>
      <c r="X34" s="560">
        <f t="shared" ref="X34:X44" si="17">W34/Y34</f>
        <v>1.7237834132967786</v>
      </c>
      <c r="Y34" s="625">
        <v>1459</v>
      </c>
      <c r="Z34" s="543">
        <v>2.66</v>
      </c>
      <c r="AA34" s="544">
        <v>27.6</v>
      </c>
      <c r="AB34" s="545">
        <v>1927</v>
      </c>
      <c r="AC34" s="545">
        <v>688</v>
      </c>
      <c r="AD34" s="546">
        <f t="shared" ref="AD34:AD51" si="18">AC34/AG34</f>
        <v>0.94965975126644298</v>
      </c>
      <c r="AE34" s="545">
        <v>2705</v>
      </c>
      <c r="AF34" s="546">
        <f t="shared" ref="AF34:AF47" si="19">AE34/AG34</f>
        <v>3.7337639929879773</v>
      </c>
      <c r="AG34" s="630">
        <v>724.47</v>
      </c>
      <c r="AH34" s="534">
        <v>0.28799999999999998</v>
      </c>
      <c r="AI34" s="535">
        <v>39.6</v>
      </c>
      <c r="AJ34" s="536">
        <v>267</v>
      </c>
      <c r="AK34" s="536" t="s">
        <v>519</v>
      </c>
      <c r="AL34" s="537" t="s">
        <v>493</v>
      </c>
      <c r="AM34" s="536">
        <v>436</v>
      </c>
      <c r="AN34" s="548">
        <f t="shared" ref="AN34:AN47" si="20">AM34/AO34</f>
        <v>0.47087792813711621</v>
      </c>
      <c r="AO34" s="618">
        <v>925.93</v>
      </c>
      <c r="AP34" s="549">
        <v>0.69599999999999995</v>
      </c>
      <c r="AQ34" s="550">
        <v>34.1</v>
      </c>
      <c r="AR34" s="486">
        <v>460</v>
      </c>
      <c r="AS34" s="486">
        <v>258</v>
      </c>
      <c r="AT34" s="487">
        <f t="shared" ref="AT34:AT46" si="21">AS34/AW34</f>
        <v>0.39031770045385777</v>
      </c>
      <c r="AU34" s="486">
        <v>886</v>
      </c>
      <c r="AV34" s="551">
        <f t="shared" ref="AV34:AV46" si="22">AU34/AW34</f>
        <v>1.340393343419062</v>
      </c>
      <c r="AW34" s="512">
        <v>661</v>
      </c>
      <c r="AX34" s="543">
        <v>5.6239999999999997</v>
      </c>
      <c r="AY34" s="544">
        <v>24.7</v>
      </c>
      <c r="AZ34" s="545">
        <v>5256</v>
      </c>
      <c r="BA34" s="545">
        <v>3301</v>
      </c>
      <c r="BB34" s="546">
        <f t="shared" ref="BB34:BB46" si="23">BA34/BE34</f>
        <v>3.5304812834224597</v>
      </c>
      <c r="BC34" s="545">
        <v>8732</v>
      </c>
      <c r="BD34" s="547">
        <f t="shared" ref="BD34:BD46" si="24">BC34/BE34</f>
        <v>9.3390374331550809</v>
      </c>
      <c r="BE34" s="633">
        <v>935</v>
      </c>
      <c r="BF34" s="552">
        <v>5.1859999999999999</v>
      </c>
      <c r="BG34" s="489">
        <v>15.9</v>
      </c>
      <c r="BH34" s="490">
        <v>3805</v>
      </c>
      <c r="BI34" s="490">
        <v>2501</v>
      </c>
      <c r="BJ34" s="490">
        <v>4892</v>
      </c>
      <c r="BK34" s="557">
        <v>733.73</v>
      </c>
      <c r="BL34" s="554">
        <v>2.2599999999999998</v>
      </c>
      <c r="BM34" s="555">
        <v>33.1</v>
      </c>
      <c r="BN34" s="556">
        <v>961</v>
      </c>
      <c r="BO34" s="556">
        <v>437</v>
      </c>
      <c r="BP34" s="556">
        <v>1665</v>
      </c>
      <c r="BQ34" s="637">
        <v>425.42</v>
      </c>
      <c r="BR34" s="534">
        <v>0.51</v>
      </c>
      <c r="BS34" s="535">
        <v>46.1</v>
      </c>
      <c r="BT34" s="536">
        <v>225</v>
      </c>
      <c r="BU34" s="536">
        <v>8</v>
      </c>
      <c r="BV34" s="536">
        <v>371</v>
      </c>
      <c r="BW34" s="618">
        <v>441</v>
      </c>
      <c r="BX34" s="552">
        <v>5.3999999999999999E-2</v>
      </c>
      <c r="BY34" s="489">
        <v>71.099999999999994</v>
      </c>
      <c r="BZ34" s="490">
        <v>24</v>
      </c>
      <c r="CA34" s="490" t="s">
        <v>518</v>
      </c>
      <c r="CB34" s="490">
        <v>54</v>
      </c>
      <c r="CC34" s="557">
        <v>441</v>
      </c>
    </row>
    <row r="35" spans="1:81" x14ac:dyDescent="0.25">
      <c r="A35" s="932">
        <v>2003</v>
      </c>
      <c r="B35" s="534">
        <v>6.6440000000000001</v>
      </c>
      <c r="C35" s="535">
        <v>22.1</v>
      </c>
      <c r="D35" s="536">
        <v>5617</v>
      </c>
      <c r="E35" s="536">
        <v>3372</v>
      </c>
      <c r="F35" s="537">
        <f t="shared" si="12"/>
        <v>3.989588263132986</v>
      </c>
      <c r="G35" s="538">
        <v>7795</v>
      </c>
      <c r="H35" s="539">
        <f t="shared" si="13"/>
        <v>9.2226691907240888</v>
      </c>
      <c r="I35" s="618">
        <v>845.2</v>
      </c>
      <c r="J35" s="540">
        <v>1.4410000000000001</v>
      </c>
      <c r="K35" s="494">
        <v>32.9</v>
      </c>
      <c r="L35" s="495">
        <v>1721</v>
      </c>
      <c r="M35" s="495">
        <v>911</v>
      </c>
      <c r="N35" s="496">
        <f t="shared" si="14"/>
        <v>0.76234309623430963</v>
      </c>
      <c r="O35" s="495">
        <v>2794</v>
      </c>
      <c r="P35" s="541">
        <f t="shared" si="15"/>
        <v>2.3380753138075314</v>
      </c>
      <c r="Q35" s="621">
        <v>1195</v>
      </c>
      <c r="R35" s="542">
        <v>0.79300000000000004</v>
      </c>
      <c r="S35" s="499">
        <v>32.799999999999997</v>
      </c>
      <c r="T35" s="500">
        <v>1156</v>
      </c>
      <c r="U35" s="500">
        <v>252</v>
      </c>
      <c r="V35" s="501">
        <f t="shared" si="16"/>
        <v>0.1728110599078341</v>
      </c>
      <c r="W35" s="500">
        <v>1912</v>
      </c>
      <c r="X35" s="560">
        <f t="shared" si="17"/>
        <v>1.3111696291419794</v>
      </c>
      <c r="Y35" s="625">
        <v>1458.24</v>
      </c>
      <c r="Z35" s="543">
        <v>2.6789999999999998</v>
      </c>
      <c r="AA35" s="544">
        <v>25.4</v>
      </c>
      <c r="AB35" s="545">
        <v>1941</v>
      </c>
      <c r="AC35" s="545">
        <v>1110</v>
      </c>
      <c r="AD35" s="546">
        <f t="shared" si="18"/>
        <v>1.5321545405606858</v>
      </c>
      <c r="AE35" s="545">
        <v>3013</v>
      </c>
      <c r="AF35" s="546">
        <f t="shared" si="19"/>
        <v>4.1589023700084198</v>
      </c>
      <c r="AG35" s="630">
        <v>724.47</v>
      </c>
      <c r="AH35" s="534">
        <v>1.5740000000000001</v>
      </c>
      <c r="AI35" s="535">
        <v>39.4</v>
      </c>
      <c r="AJ35" s="536">
        <v>1458</v>
      </c>
      <c r="AK35" s="536">
        <v>568</v>
      </c>
      <c r="AL35" s="537">
        <f t="shared" ref="AL35:AL47" si="25">AK35/AO35</f>
        <v>0.61343730087587622</v>
      </c>
      <c r="AM35" s="536">
        <v>2567</v>
      </c>
      <c r="AN35" s="548">
        <f t="shared" si="20"/>
        <v>2.7723478016696728</v>
      </c>
      <c r="AO35" s="618">
        <v>925.93</v>
      </c>
      <c r="AP35" s="549">
        <v>1.1919999999999999</v>
      </c>
      <c r="AQ35" s="550">
        <v>23.8</v>
      </c>
      <c r="AR35" s="486">
        <v>788</v>
      </c>
      <c r="AS35" s="486">
        <v>499</v>
      </c>
      <c r="AT35" s="487">
        <f t="shared" si="21"/>
        <v>0.75491679273827539</v>
      </c>
      <c r="AU35" s="486">
        <v>1212</v>
      </c>
      <c r="AV35" s="551">
        <f t="shared" si="22"/>
        <v>1.8335854765506807</v>
      </c>
      <c r="AW35" s="512">
        <v>661</v>
      </c>
      <c r="AX35" s="543">
        <v>5.45</v>
      </c>
      <c r="AY35" s="544">
        <v>17.8</v>
      </c>
      <c r="AZ35" s="545">
        <v>5093</v>
      </c>
      <c r="BA35" s="545">
        <v>3244</v>
      </c>
      <c r="BB35" s="546">
        <f t="shared" si="23"/>
        <v>3.4695187165775403</v>
      </c>
      <c r="BC35" s="545">
        <v>6680</v>
      </c>
      <c r="BD35" s="547">
        <f t="shared" si="24"/>
        <v>7.144385026737968</v>
      </c>
      <c r="BE35" s="633">
        <v>935</v>
      </c>
      <c r="BF35" s="552">
        <v>4.96</v>
      </c>
      <c r="BG35" s="489">
        <v>19.7</v>
      </c>
      <c r="BH35" s="490">
        <v>3640</v>
      </c>
      <c r="BI35" s="490">
        <v>2622</v>
      </c>
      <c r="BJ35" s="490">
        <v>5392</v>
      </c>
      <c r="BK35" s="557">
        <v>733.73</v>
      </c>
      <c r="BL35" s="554">
        <v>1.8160000000000001</v>
      </c>
      <c r="BM35" s="555">
        <v>27.2</v>
      </c>
      <c r="BN35" s="556">
        <v>773</v>
      </c>
      <c r="BO35" s="556">
        <v>557</v>
      </c>
      <c r="BP35" s="556">
        <v>1424</v>
      </c>
      <c r="BQ35" s="637">
        <v>425.42</v>
      </c>
      <c r="BR35" s="534">
        <v>0.109</v>
      </c>
      <c r="BS35" s="535">
        <v>61.1</v>
      </c>
      <c r="BT35" s="536">
        <v>48</v>
      </c>
      <c r="BU35" s="536" t="s">
        <v>518</v>
      </c>
      <c r="BV35" s="536">
        <v>85</v>
      </c>
      <c r="BW35" s="618">
        <v>441</v>
      </c>
      <c r="BX35" s="552">
        <v>0</v>
      </c>
      <c r="BY35" s="489" t="s">
        <v>518</v>
      </c>
      <c r="BZ35" s="490" t="s">
        <v>518</v>
      </c>
      <c r="CA35" s="490" t="s">
        <v>518</v>
      </c>
      <c r="CB35" s="490" t="s">
        <v>518</v>
      </c>
      <c r="CC35" s="557">
        <v>441</v>
      </c>
    </row>
    <row r="36" spans="1:81" x14ac:dyDescent="0.25">
      <c r="A36" s="932">
        <v>2004</v>
      </c>
      <c r="B36" s="534">
        <v>3.8330000000000002</v>
      </c>
      <c r="C36" s="535">
        <v>30</v>
      </c>
      <c r="D36" s="536">
        <v>3241</v>
      </c>
      <c r="E36" s="536">
        <v>1365</v>
      </c>
      <c r="F36" s="537">
        <f t="shared" si="12"/>
        <v>1.6150023663038333</v>
      </c>
      <c r="G36" s="538">
        <v>4845</v>
      </c>
      <c r="H36" s="539">
        <f t="shared" si="13"/>
        <v>5.7323710364410791</v>
      </c>
      <c r="I36" s="618">
        <v>845.2</v>
      </c>
      <c r="J36" s="540">
        <v>1.5129999999999999</v>
      </c>
      <c r="K36" s="494">
        <v>25.4</v>
      </c>
      <c r="L36" s="495">
        <v>1807</v>
      </c>
      <c r="M36" s="495">
        <v>1042</v>
      </c>
      <c r="N36" s="496">
        <f t="shared" si="14"/>
        <v>0.87196652719665269</v>
      </c>
      <c r="O36" s="495">
        <v>2777</v>
      </c>
      <c r="P36" s="541">
        <f t="shared" si="15"/>
        <v>2.3238493723849372</v>
      </c>
      <c r="Q36" s="621">
        <v>1195</v>
      </c>
      <c r="R36" s="542">
        <v>0.28599999999999998</v>
      </c>
      <c r="S36" s="499">
        <v>60</v>
      </c>
      <c r="T36" s="500">
        <v>417</v>
      </c>
      <c r="U36" s="500" t="s">
        <v>518</v>
      </c>
      <c r="V36" s="501" t="s">
        <v>493</v>
      </c>
      <c r="W36" s="500">
        <v>727</v>
      </c>
      <c r="X36" s="560">
        <f t="shared" si="17"/>
        <v>0.49854619267061662</v>
      </c>
      <c r="Y36" s="625">
        <v>1458.24</v>
      </c>
      <c r="Z36" s="543">
        <v>3.3730000000000002</v>
      </c>
      <c r="AA36" s="544">
        <v>33.4</v>
      </c>
      <c r="AB36" s="545">
        <v>2444</v>
      </c>
      <c r="AC36" s="545">
        <v>1217</v>
      </c>
      <c r="AD36" s="546">
        <f t="shared" si="18"/>
        <v>1.6798487169931122</v>
      </c>
      <c r="AE36" s="545">
        <v>4093</v>
      </c>
      <c r="AF36" s="546">
        <f t="shared" si="19"/>
        <v>5.6496473283917901</v>
      </c>
      <c r="AG36" s="630">
        <v>724.47</v>
      </c>
      <c r="AH36" s="534">
        <v>0.61099999999999999</v>
      </c>
      <c r="AI36" s="535">
        <v>25</v>
      </c>
      <c r="AJ36" s="536">
        <v>565</v>
      </c>
      <c r="AK36" s="536">
        <v>314</v>
      </c>
      <c r="AL36" s="537">
        <f t="shared" si="25"/>
        <v>0.33911850787856535</v>
      </c>
      <c r="AM36" s="536">
        <v>841</v>
      </c>
      <c r="AN36" s="548">
        <f t="shared" si="20"/>
        <v>0.90827600358558425</v>
      </c>
      <c r="AO36" s="618">
        <v>925.93</v>
      </c>
      <c r="AP36" s="549">
        <v>1.7210000000000001</v>
      </c>
      <c r="AQ36" s="550">
        <v>20.7</v>
      </c>
      <c r="AR36" s="486">
        <v>1137</v>
      </c>
      <c r="AS36" s="486">
        <v>707</v>
      </c>
      <c r="AT36" s="487">
        <f t="shared" si="21"/>
        <v>1.0695915279878971</v>
      </c>
      <c r="AU36" s="486">
        <v>1732</v>
      </c>
      <c r="AV36" s="551">
        <f t="shared" si="22"/>
        <v>2.6202723146747351</v>
      </c>
      <c r="AW36" s="512">
        <v>661</v>
      </c>
      <c r="AX36" s="543">
        <v>7.4050000000000002</v>
      </c>
      <c r="AY36" s="544">
        <v>15.1</v>
      </c>
      <c r="AZ36" s="545">
        <v>6921</v>
      </c>
      <c r="BA36" s="545">
        <v>4278</v>
      </c>
      <c r="BB36" s="546">
        <f t="shared" si="23"/>
        <v>4.5754010695187164</v>
      </c>
      <c r="BC36" s="545">
        <v>8564</v>
      </c>
      <c r="BD36" s="547">
        <f t="shared" si="24"/>
        <v>9.1593582887700542</v>
      </c>
      <c r="BE36" s="633">
        <v>935</v>
      </c>
      <c r="BF36" s="552">
        <v>5.3310000000000004</v>
      </c>
      <c r="BG36" s="489">
        <v>32.200000000000003</v>
      </c>
      <c r="BH36" s="490">
        <v>3911</v>
      </c>
      <c r="BI36" s="490">
        <v>2729</v>
      </c>
      <c r="BJ36" s="490">
        <v>7732</v>
      </c>
      <c r="BK36" s="557">
        <v>733.73</v>
      </c>
      <c r="BL36" s="554">
        <v>2.4470000000000001</v>
      </c>
      <c r="BM36" s="555">
        <v>43.5</v>
      </c>
      <c r="BN36" s="556">
        <v>1041</v>
      </c>
      <c r="BO36" s="556">
        <v>608</v>
      </c>
      <c r="BP36" s="556">
        <v>2421</v>
      </c>
      <c r="BQ36" s="637">
        <v>425.42</v>
      </c>
      <c r="BR36" s="534">
        <v>9.0999999999999998E-2</v>
      </c>
      <c r="BS36" s="535">
        <v>64.5</v>
      </c>
      <c r="BT36" s="536">
        <v>40</v>
      </c>
      <c r="BU36" s="536" t="s">
        <v>518</v>
      </c>
      <c r="BV36" s="536">
        <v>104</v>
      </c>
      <c r="BW36" s="618">
        <v>441</v>
      </c>
      <c r="BX36" s="552">
        <v>0.107</v>
      </c>
      <c r="BY36" s="489">
        <v>93.6</v>
      </c>
      <c r="BZ36" s="490">
        <v>47</v>
      </c>
      <c r="CA36" s="490" t="s">
        <v>518</v>
      </c>
      <c r="CB36" s="490">
        <v>137</v>
      </c>
      <c r="CC36" s="557">
        <v>441</v>
      </c>
    </row>
    <row r="37" spans="1:81" x14ac:dyDescent="0.25">
      <c r="A37" s="932">
        <v>2005</v>
      </c>
      <c r="B37" s="534">
        <v>2.5009999999999999</v>
      </c>
      <c r="C37" s="535">
        <v>37.700000000000003</v>
      </c>
      <c r="D37" s="536">
        <v>2114</v>
      </c>
      <c r="E37" s="536">
        <v>698</v>
      </c>
      <c r="F37" s="537">
        <f t="shared" si="12"/>
        <v>0.82584003786086124</v>
      </c>
      <c r="G37" s="538">
        <v>3661</v>
      </c>
      <c r="H37" s="539">
        <f t="shared" si="13"/>
        <v>4.3315191670610504</v>
      </c>
      <c r="I37" s="618">
        <v>845.2</v>
      </c>
      <c r="J37" s="540">
        <v>2.4260000000000002</v>
      </c>
      <c r="K37" s="494">
        <v>25.4</v>
      </c>
      <c r="L37" s="495">
        <v>2895</v>
      </c>
      <c r="M37" s="495">
        <v>1186</v>
      </c>
      <c r="N37" s="496">
        <f t="shared" si="14"/>
        <v>0.99355779138637335</v>
      </c>
      <c r="O37" s="495">
        <v>4210</v>
      </c>
      <c r="P37" s="541">
        <f t="shared" si="15"/>
        <v>3.526878837889234</v>
      </c>
      <c r="Q37" s="621">
        <v>1193.69</v>
      </c>
      <c r="R37" s="542">
        <v>2.0209999999999999</v>
      </c>
      <c r="S37" s="499">
        <v>30.1</v>
      </c>
      <c r="T37" s="500">
        <v>2947</v>
      </c>
      <c r="U37" s="500">
        <v>1198</v>
      </c>
      <c r="V37" s="501">
        <f t="shared" si="16"/>
        <v>0.8215382927364494</v>
      </c>
      <c r="W37" s="500">
        <v>5019</v>
      </c>
      <c r="X37" s="560">
        <f t="shared" si="17"/>
        <v>3.4418202764976957</v>
      </c>
      <c r="Y37" s="625">
        <v>1458.24</v>
      </c>
      <c r="Z37" s="543">
        <v>2.7850000000000001</v>
      </c>
      <c r="AA37" s="544">
        <v>19.100000000000001</v>
      </c>
      <c r="AB37" s="545">
        <v>2018</v>
      </c>
      <c r="AC37" s="545">
        <v>1233</v>
      </c>
      <c r="AD37" s="546">
        <f t="shared" si="18"/>
        <v>1.7019338274876805</v>
      </c>
      <c r="AE37" s="545">
        <v>2764</v>
      </c>
      <c r="AF37" s="546">
        <f t="shared" si="19"/>
        <v>3.8152028379366985</v>
      </c>
      <c r="AG37" s="630">
        <v>724.47</v>
      </c>
      <c r="AH37" s="534">
        <v>0.60299999999999998</v>
      </c>
      <c r="AI37" s="535">
        <v>56.7</v>
      </c>
      <c r="AJ37" s="536">
        <v>558</v>
      </c>
      <c r="AK37" s="536">
        <v>166</v>
      </c>
      <c r="AL37" s="537">
        <f t="shared" si="25"/>
        <v>0.17927921117147086</v>
      </c>
      <c r="AM37" s="536">
        <v>1461</v>
      </c>
      <c r="AN37" s="548">
        <f t="shared" si="20"/>
        <v>1.5778730573585478</v>
      </c>
      <c r="AO37" s="618">
        <v>925.93</v>
      </c>
      <c r="AP37" s="549">
        <v>0.80800000000000005</v>
      </c>
      <c r="AQ37" s="550">
        <v>32.200000000000003</v>
      </c>
      <c r="AR37" s="486">
        <v>534</v>
      </c>
      <c r="AS37" s="486">
        <v>269</v>
      </c>
      <c r="AT37" s="487">
        <f t="shared" si="21"/>
        <v>0.40695915279878969</v>
      </c>
      <c r="AU37" s="486">
        <v>962</v>
      </c>
      <c r="AV37" s="551">
        <f t="shared" si="22"/>
        <v>1.4553706505295008</v>
      </c>
      <c r="AW37" s="512">
        <v>661</v>
      </c>
      <c r="AX37" s="543">
        <v>5.6929999999999996</v>
      </c>
      <c r="AY37" s="544">
        <v>17.8</v>
      </c>
      <c r="AZ37" s="545">
        <v>5320</v>
      </c>
      <c r="BA37" s="545">
        <v>3156</v>
      </c>
      <c r="BB37" s="546">
        <f t="shared" si="23"/>
        <v>3.3754010695187167</v>
      </c>
      <c r="BC37" s="545">
        <v>6760</v>
      </c>
      <c r="BD37" s="547">
        <f t="shared" si="24"/>
        <v>7.2299465240641707</v>
      </c>
      <c r="BE37" s="633">
        <v>935</v>
      </c>
      <c r="BF37" s="552">
        <v>4.4870000000000001</v>
      </c>
      <c r="BG37" s="489">
        <v>25.5</v>
      </c>
      <c r="BH37" s="490">
        <v>3292</v>
      </c>
      <c r="BI37" s="490">
        <v>2329</v>
      </c>
      <c r="BJ37" s="490">
        <v>5562</v>
      </c>
      <c r="BK37" s="557">
        <v>733.73</v>
      </c>
      <c r="BL37" s="554">
        <v>0.89500000000000002</v>
      </c>
      <c r="BM37" s="555">
        <v>42.1</v>
      </c>
      <c r="BN37" s="556">
        <v>381</v>
      </c>
      <c r="BO37" s="556">
        <v>243</v>
      </c>
      <c r="BP37" s="556">
        <v>901</v>
      </c>
      <c r="BQ37" s="637">
        <v>425.42</v>
      </c>
      <c r="BR37" s="534">
        <v>0.14099999999999999</v>
      </c>
      <c r="BS37" s="535">
        <v>48.1</v>
      </c>
      <c r="BT37" s="536">
        <v>62</v>
      </c>
      <c r="BU37" s="536">
        <v>8</v>
      </c>
      <c r="BV37" s="536">
        <v>121</v>
      </c>
      <c r="BW37" s="618">
        <v>441</v>
      </c>
      <c r="BX37" s="552">
        <v>0.19700000000000001</v>
      </c>
      <c r="BY37" s="489">
        <v>39.700000000000003</v>
      </c>
      <c r="BZ37" s="490">
        <v>87</v>
      </c>
      <c r="CA37" s="490">
        <v>36</v>
      </c>
      <c r="CB37" s="490">
        <v>156</v>
      </c>
      <c r="CC37" s="557">
        <v>441</v>
      </c>
    </row>
    <row r="38" spans="1:81" x14ac:dyDescent="0.25">
      <c r="A38" s="932">
        <v>2006</v>
      </c>
      <c r="B38" s="534">
        <v>2.76</v>
      </c>
      <c r="C38" s="535">
        <v>16.3</v>
      </c>
      <c r="D38" s="536">
        <v>2333</v>
      </c>
      <c r="E38" s="536">
        <v>1628</v>
      </c>
      <c r="F38" s="537">
        <f t="shared" si="12"/>
        <v>1.926171320397539</v>
      </c>
      <c r="G38" s="538">
        <v>3182</v>
      </c>
      <c r="H38" s="539">
        <f t="shared" si="13"/>
        <v>3.7647893989588259</v>
      </c>
      <c r="I38" s="618">
        <v>845.2</v>
      </c>
      <c r="J38" s="540">
        <v>1.4179999999999999</v>
      </c>
      <c r="K38" s="494">
        <v>24.9</v>
      </c>
      <c r="L38" s="495">
        <v>1693</v>
      </c>
      <c r="M38" s="495">
        <v>777</v>
      </c>
      <c r="N38" s="496">
        <f t="shared" si="14"/>
        <v>0.65092276889309619</v>
      </c>
      <c r="O38" s="495">
        <v>2551</v>
      </c>
      <c r="P38" s="541">
        <f t="shared" si="15"/>
        <v>2.137070763766137</v>
      </c>
      <c r="Q38" s="621">
        <v>1193.69</v>
      </c>
      <c r="R38" s="542">
        <v>1.284</v>
      </c>
      <c r="S38" s="499">
        <v>40.4</v>
      </c>
      <c r="T38" s="500">
        <v>1873</v>
      </c>
      <c r="U38" s="500">
        <v>595</v>
      </c>
      <c r="V38" s="501">
        <f t="shared" si="16"/>
        <v>0.40802611367127495</v>
      </c>
      <c r="W38" s="500">
        <v>3440</v>
      </c>
      <c r="X38" s="560">
        <f t="shared" si="17"/>
        <v>2.3590081193767829</v>
      </c>
      <c r="Y38" s="625">
        <v>1458.24</v>
      </c>
      <c r="Z38" s="543">
        <v>2.2610000000000001</v>
      </c>
      <c r="AA38" s="544">
        <v>19.899999999999999</v>
      </c>
      <c r="AB38" s="545">
        <v>1638</v>
      </c>
      <c r="AC38" s="545">
        <v>1038</v>
      </c>
      <c r="AD38" s="546">
        <f t="shared" si="18"/>
        <v>1.4327715433351278</v>
      </c>
      <c r="AE38" s="545">
        <v>2372</v>
      </c>
      <c r="AF38" s="546">
        <f t="shared" si="19"/>
        <v>3.2741176308197715</v>
      </c>
      <c r="AG38" s="630">
        <v>724.47</v>
      </c>
      <c r="AH38" s="534">
        <v>0.80200000000000005</v>
      </c>
      <c r="AI38" s="535">
        <v>34</v>
      </c>
      <c r="AJ38" s="536">
        <v>743</v>
      </c>
      <c r="AK38" s="536">
        <v>380</v>
      </c>
      <c r="AL38" s="537">
        <f t="shared" si="25"/>
        <v>0.41039819424794532</v>
      </c>
      <c r="AM38" s="536">
        <v>1344</v>
      </c>
      <c r="AN38" s="548">
        <f t="shared" si="20"/>
        <v>1.4515136133401014</v>
      </c>
      <c r="AO38" s="618">
        <v>925.93</v>
      </c>
      <c r="AP38" s="549">
        <v>1.034</v>
      </c>
      <c r="AQ38" s="550">
        <v>29.6</v>
      </c>
      <c r="AR38" s="486">
        <v>684</v>
      </c>
      <c r="AS38" s="486">
        <v>352</v>
      </c>
      <c r="AT38" s="487">
        <f t="shared" si="21"/>
        <v>0.53252647503782147</v>
      </c>
      <c r="AU38" s="486">
        <v>1070</v>
      </c>
      <c r="AV38" s="551">
        <f t="shared" si="22"/>
        <v>1.6187594553706506</v>
      </c>
      <c r="AW38" s="512">
        <v>661</v>
      </c>
      <c r="AX38" s="543">
        <v>5.6379999999999999</v>
      </c>
      <c r="AY38" s="544">
        <v>14.1</v>
      </c>
      <c r="AZ38" s="545">
        <v>5269</v>
      </c>
      <c r="BA38" s="545">
        <v>3886</v>
      </c>
      <c r="BB38" s="546">
        <f t="shared" si="23"/>
        <v>4.1561497326203209</v>
      </c>
      <c r="BC38" s="545">
        <v>6827</v>
      </c>
      <c r="BD38" s="547">
        <f t="shared" si="24"/>
        <v>7.3016042780748664</v>
      </c>
      <c r="BE38" s="633">
        <v>935</v>
      </c>
      <c r="BF38" s="552">
        <v>4.8209999999999997</v>
      </c>
      <c r="BG38" s="489">
        <v>15.5</v>
      </c>
      <c r="BH38" s="490">
        <v>3538</v>
      </c>
      <c r="BI38" s="490">
        <v>2698</v>
      </c>
      <c r="BJ38" s="490">
        <v>4894</v>
      </c>
      <c r="BK38" s="557">
        <v>733.73</v>
      </c>
      <c r="BL38" s="554">
        <v>0.97699999999999998</v>
      </c>
      <c r="BM38" s="555">
        <v>47.8</v>
      </c>
      <c r="BN38" s="556">
        <v>416</v>
      </c>
      <c r="BO38" s="556">
        <v>209</v>
      </c>
      <c r="BP38" s="556">
        <v>981</v>
      </c>
      <c r="BQ38" s="637">
        <v>425.42</v>
      </c>
      <c r="BR38" s="534" t="s">
        <v>518</v>
      </c>
      <c r="BS38" s="535" t="s">
        <v>518</v>
      </c>
      <c r="BT38" s="536">
        <v>69</v>
      </c>
      <c r="BU38" s="536">
        <v>4</v>
      </c>
      <c r="BV38" s="536">
        <v>85</v>
      </c>
      <c r="BW38" s="618">
        <v>441</v>
      </c>
      <c r="BX38" s="552" t="s">
        <v>518</v>
      </c>
      <c r="BY38" s="489" t="s">
        <v>518</v>
      </c>
      <c r="BZ38" s="490">
        <v>65</v>
      </c>
      <c r="CA38" s="490">
        <v>18</v>
      </c>
      <c r="CB38" s="490">
        <v>103</v>
      </c>
      <c r="CC38" s="557">
        <v>441</v>
      </c>
    </row>
    <row r="39" spans="1:81" x14ac:dyDescent="0.25">
      <c r="A39" s="932">
        <v>2007</v>
      </c>
      <c r="B39" s="534">
        <v>3.4449999999999998</v>
      </c>
      <c r="C39" s="535">
        <v>27.6</v>
      </c>
      <c r="D39" s="536">
        <v>2912</v>
      </c>
      <c r="E39" s="536">
        <v>1025</v>
      </c>
      <c r="F39" s="537">
        <f t="shared" si="12"/>
        <v>1.2127307146237576</v>
      </c>
      <c r="G39" s="538">
        <v>4392</v>
      </c>
      <c r="H39" s="539">
        <f t="shared" si="13"/>
        <v>5.1964032181732129</v>
      </c>
      <c r="I39" s="618">
        <v>845.2</v>
      </c>
      <c r="J39" s="540">
        <v>1.218</v>
      </c>
      <c r="K39" s="494">
        <v>21.9</v>
      </c>
      <c r="L39" s="495">
        <v>1453</v>
      </c>
      <c r="M39" s="495">
        <v>708</v>
      </c>
      <c r="N39" s="496">
        <f>M39/Q39</f>
        <v>0.59311881644313014</v>
      </c>
      <c r="O39" s="495">
        <v>1993</v>
      </c>
      <c r="P39" s="541">
        <f>O39/Q39</f>
        <v>1.6696127135185852</v>
      </c>
      <c r="Q39" s="621">
        <v>1193.69</v>
      </c>
      <c r="R39" s="542">
        <v>1.796</v>
      </c>
      <c r="S39" s="499">
        <v>51.3</v>
      </c>
      <c r="T39" s="500">
        <v>2620</v>
      </c>
      <c r="U39" s="500">
        <v>206</v>
      </c>
      <c r="V39" s="501">
        <f t="shared" si="16"/>
        <v>0.14126618389291201</v>
      </c>
      <c r="W39" s="500">
        <v>5629</v>
      </c>
      <c r="X39" s="560">
        <f t="shared" si="17"/>
        <v>3.8601327627825324</v>
      </c>
      <c r="Y39" s="625">
        <v>1458.24</v>
      </c>
      <c r="Z39" s="543">
        <v>2.851</v>
      </c>
      <c r="AA39" s="544">
        <v>32</v>
      </c>
      <c r="AB39" s="545">
        <v>2065</v>
      </c>
      <c r="AC39" s="545">
        <v>964</v>
      </c>
      <c r="AD39" s="546">
        <f t="shared" si="18"/>
        <v>1.3306279072977487</v>
      </c>
      <c r="AE39" s="545">
        <v>3336</v>
      </c>
      <c r="AF39" s="546">
        <f t="shared" si="19"/>
        <v>4.6047455381175206</v>
      </c>
      <c r="AG39" s="630">
        <v>724.47</v>
      </c>
      <c r="AH39" s="534">
        <v>0.50800000000000001</v>
      </c>
      <c r="AI39" s="535">
        <v>25.5</v>
      </c>
      <c r="AJ39" s="536">
        <v>470</v>
      </c>
      <c r="AK39" s="536">
        <v>234</v>
      </c>
      <c r="AL39" s="537">
        <f t="shared" si="25"/>
        <v>0.25271888803689263</v>
      </c>
      <c r="AM39" s="536">
        <v>666</v>
      </c>
      <c r="AN39" s="548">
        <f t="shared" si="20"/>
        <v>0.7192768351819252</v>
      </c>
      <c r="AO39" s="618">
        <v>925.93</v>
      </c>
      <c r="AP39" s="549">
        <v>0.52600000000000002</v>
      </c>
      <c r="AQ39" s="550">
        <v>58.5</v>
      </c>
      <c r="AR39" s="486">
        <v>348</v>
      </c>
      <c r="AS39" s="486">
        <v>26</v>
      </c>
      <c r="AT39" s="487">
        <f t="shared" si="21"/>
        <v>3.9334341906202726E-2</v>
      </c>
      <c r="AU39" s="486">
        <v>744</v>
      </c>
      <c r="AV39" s="551">
        <f t="shared" si="22"/>
        <v>1.1255673222390317</v>
      </c>
      <c r="AW39" s="512">
        <v>661</v>
      </c>
      <c r="AX39" s="543">
        <v>3.927</v>
      </c>
      <c r="AY39" s="544">
        <v>20.399999999999999</v>
      </c>
      <c r="AZ39" s="545">
        <v>3670</v>
      </c>
      <c r="BA39" s="545">
        <v>2525</v>
      </c>
      <c r="BB39" s="546">
        <f t="shared" si="23"/>
        <v>2.7005347593582889</v>
      </c>
      <c r="BC39" s="545">
        <v>5378</v>
      </c>
      <c r="BD39" s="547">
        <f t="shared" si="24"/>
        <v>5.7518716577540108</v>
      </c>
      <c r="BE39" s="633">
        <v>935</v>
      </c>
      <c r="BF39" s="552">
        <v>4.7300000000000004</v>
      </c>
      <c r="BG39" s="489">
        <v>37.5</v>
      </c>
      <c r="BH39" s="490">
        <v>3470</v>
      </c>
      <c r="BI39" s="490">
        <v>2329</v>
      </c>
      <c r="BJ39" s="490">
        <v>7025</v>
      </c>
      <c r="BK39" s="557">
        <v>733.73</v>
      </c>
      <c r="BL39" s="554">
        <v>0.65500000000000003</v>
      </c>
      <c r="BM39" s="555">
        <v>36.9</v>
      </c>
      <c r="BN39" s="556">
        <v>279</v>
      </c>
      <c r="BO39" s="556">
        <v>146</v>
      </c>
      <c r="BP39" s="556">
        <v>549</v>
      </c>
      <c r="BQ39" s="637">
        <v>425.42</v>
      </c>
      <c r="BR39" s="534">
        <v>6.7000000000000004E-2</v>
      </c>
      <c r="BS39" s="535">
        <v>37.700000000000003</v>
      </c>
      <c r="BT39" s="536">
        <v>30</v>
      </c>
      <c r="BU39" s="536" t="s">
        <v>518</v>
      </c>
      <c r="BV39" s="536">
        <v>49</v>
      </c>
      <c r="BW39" s="618">
        <v>441</v>
      </c>
      <c r="BX39" s="552">
        <v>0</v>
      </c>
      <c r="BY39" s="489" t="s">
        <v>518</v>
      </c>
      <c r="BZ39" s="489" t="s">
        <v>518</v>
      </c>
      <c r="CA39" s="489" t="s">
        <v>518</v>
      </c>
      <c r="CB39" s="489" t="s">
        <v>518</v>
      </c>
      <c r="CC39" s="557">
        <v>441</v>
      </c>
    </row>
    <row r="40" spans="1:81" x14ac:dyDescent="0.25">
      <c r="A40" s="932">
        <v>2008</v>
      </c>
      <c r="B40" s="534">
        <v>3.5720000000000001</v>
      </c>
      <c r="C40" s="535">
        <v>25.1</v>
      </c>
      <c r="D40" s="536">
        <v>3019</v>
      </c>
      <c r="E40" s="536">
        <v>1439</v>
      </c>
      <c r="F40" s="537">
        <f t="shared" si="12"/>
        <v>1.702555608140085</v>
      </c>
      <c r="G40" s="538">
        <v>4472</v>
      </c>
      <c r="H40" s="539">
        <f t="shared" si="13"/>
        <v>5.2910553715097013</v>
      </c>
      <c r="I40" s="618">
        <v>845.2</v>
      </c>
      <c r="J40" s="540">
        <v>0.89900000000000002</v>
      </c>
      <c r="K40" s="494">
        <v>27.6</v>
      </c>
      <c r="L40" s="495">
        <v>1073</v>
      </c>
      <c r="M40" s="495">
        <v>580</v>
      </c>
      <c r="N40" s="496">
        <f t="shared" si="14"/>
        <v>0.4858882959562365</v>
      </c>
      <c r="O40" s="495">
        <v>1640</v>
      </c>
      <c r="P40" s="541">
        <f t="shared" si="15"/>
        <v>1.373891043738324</v>
      </c>
      <c r="Q40" s="621">
        <v>1193.69</v>
      </c>
      <c r="R40" s="542">
        <v>0.41599999999999998</v>
      </c>
      <c r="S40" s="499">
        <v>30.8</v>
      </c>
      <c r="T40" s="500">
        <v>607</v>
      </c>
      <c r="U40" s="500">
        <v>288</v>
      </c>
      <c r="V40" s="501">
        <f t="shared" si="16"/>
        <v>0.19749835418038184</v>
      </c>
      <c r="W40" s="500">
        <v>970</v>
      </c>
      <c r="X40" s="560">
        <f t="shared" si="17"/>
        <v>0.66518542901031374</v>
      </c>
      <c r="Y40" s="625">
        <v>1458.24</v>
      </c>
      <c r="Z40" s="543">
        <v>2.5840000000000001</v>
      </c>
      <c r="AA40" s="544">
        <v>22.4</v>
      </c>
      <c r="AB40" s="545">
        <v>1872</v>
      </c>
      <c r="AC40" s="545">
        <v>1132</v>
      </c>
      <c r="AD40" s="546">
        <f t="shared" si="18"/>
        <v>1.5625215674907174</v>
      </c>
      <c r="AE40" s="545">
        <v>2801</v>
      </c>
      <c r="AF40" s="546">
        <f t="shared" si="19"/>
        <v>3.866274655955388</v>
      </c>
      <c r="AG40" s="630">
        <v>724.47</v>
      </c>
      <c r="AH40" s="534">
        <v>6.2E-2</v>
      </c>
      <c r="AI40" s="535">
        <v>49.1</v>
      </c>
      <c r="AJ40" s="536">
        <v>57</v>
      </c>
      <c r="AK40" s="536" t="s">
        <v>519</v>
      </c>
      <c r="AL40" s="537" t="s">
        <v>493</v>
      </c>
      <c r="AM40" s="536">
        <v>116</v>
      </c>
      <c r="AN40" s="548">
        <f t="shared" si="20"/>
        <v>0.12527944877042541</v>
      </c>
      <c r="AO40" s="618">
        <v>925.93</v>
      </c>
      <c r="AP40" s="549">
        <v>0.33700000000000002</v>
      </c>
      <c r="AQ40" s="550">
        <v>28.4</v>
      </c>
      <c r="AR40" s="486">
        <v>223</v>
      </c>
      <c r="AS40" s="486">
        <v>107</v>
      </c>
      <c r="AT40" s="487">
        <f t="shared" si="21"/>
        <v>0.16187594553706505</v>
      </c>
      <c r="AU40" s="486">
        <v>353</v>
      </c>
      <c r="AV40" s="551">
        <f t="shared" si="22"/>
        <v>0.5340393343419062</v>
      </c>
      <c r="AW40" s="512">
        <v>661</v>
      </c>
      <c r="AX40" s="543">
        <v>6.3449999999999998</v>
      </c>
      <c r="AY40" s="544">
        <v>15.3</v>
      </c>
      <c r="AZ40" s="545">
        <v>5930</v>
      </c>
      <c r="BA40" s="545">
        <v>4233</v>
      </c>
      <c r="BB40" s="546">
        <f t="shared" si="23"/>
        <v>4.5272727272727273</v>
      </c>
      <c r="BC40" s="545">
        <v>7816</v>
      </c>
      <c r="BD40" s="547">
        <f t="shared" si="24"/>
        <v>8.3593582887700535</v>
      </c>
      <c r="BE40" s="633">
        <v>935</v>
      </c>
      <c r="BF40" s="552">
        <v>6.3860000000000001</v>
      </c>
      <c r="BG40" s="489">
        <v>19.5</v>
      </c>
      <c r="BH40" s="490">
        <v>4685</v>
      </c>
      <c r="BI40" s="490">
        <v>3167</v>
      </c>
      <c r="BJ40" s="490">
        <v>6687</v>
      </c>
      <c r="BK40" s="557">
        <v>733.73</v>
      </c>
      <c r="BL40" s="554">
        <v>1.41</v>
      </c>
      <c r="BM40" s="555">
        <v>39</v>
      </c>
      <c r="BN40" s="556">
        <v>600</v>
      </c>
      <c r="BO40" s="556">
        <v>302</v>
      </c>
      <c r="BP40" s="556">
        <v>1195</v>
      </c>
      <c r="BQ40" s="637">
        <v>425.42</v>
      </c>
      <c r="BR40" s="534">
        <v>6.5000000000000002E-2</v>
      </c>
      <c r="BS40" s="535">
        <v>60.1</v>
      </c>
      <c r="BT40" s="536">
        <v>29</v>
      </c>
      <c r="BU40" s="536" t="s">
        <v>518</v>
      </c>
      <c r="BV40" s="536">
        <v>81</v>
      </c>
      <c r="BW40" s="618">
        <v>441</v>
      </c>
      <c r="BX40" s="552">
        <v>8.6999999999999994E-2</v>
      </c>
      <c r="BY40" s="489">
        <v>70.3</v>
      </c>
      <c r="BZ40" s="490">
        <v>38</v>
      </c>
      <c r="CA40" s="490" t="s">
        <v>518</v>
      </c>
      <c r="CB40" s="490">
        <v>68</v>
      </c>
      <c r="CC40" s="557">
        <v>441</v>
      </c>
    </row>
    <row r="41" spans="1:81" x14ac:dyDescent="0.25">
      <c r="A41" s="932">
        <v>2009</v>
      </c>
      <c r="B41" s="534">
        <v>3.8109999999999999</v>
      </c>
      <c r="C41" s="535">
        <v>27.7</v>
      </c>
      <c r="D41" s="536">
        <v>3221</v>
      </c>
      <c r="E41" s="536">
        <v>1777</v>
      </c>
      <c r="F41" s="537">
        <f t="shared" si="12"/>
        <v>2.1024609559867486</v>
      </c>
      <c r="G41" s="538">
        <v>5107</v>
      </c>
      <c r="H41" s="539">
        <f t="shared" si="13"/>
        <v>6.0423568386180779</v>
      </c>
      <c r="I41" s="618">
        <v>845.2</v>
      </c>
      <c r="J41" s="540">
        <v>0.68899999999999995</v>
      </c>
      <c r="K41" s="494">
        <v>26.3</v>
      </c>
      <c r="L41" s="495">
        <v>822</v>
      </c>
      <c r="M41" s="495">
        <v>489</v>
      </c>
      <c r="N41" s="496">
        <f t="shared" si="14"/>
        <v>0.4096540977975856</v>
      </c>
      <c r="O41" s="495">
        <v>1302</v>
      </c>
      <c r="P41" s="541">
        <f t="shared" si="15"/>
        <v>1.0907354505776206</v>
      </c>
      <c r="Q41" s="621">
        <v>1193.69</v>
      </c>
      <c r="R41" s="542">
        <v>1.083</v>
      </c>
      <c r="S41" s="499">
        <v>42.9</v>
      </c>
      <c r="T41" s="500">
        <v>1580</v>
      </c>
      <c r="U41" s="500">
        <v>410</v>
      </c>
      <c r="V41" s="501">
        <f t="shared" si="16"/>
        <v>0.28116085143734915</v>
      </c>
      <c r="W41" s="500">
        <v>3299</v>
      </c>
      <c r="X41" s="560">
        <f t="shared" si="17"/>
        <v>2.2623162168093045</v>
      </c>
      <c r="Y41" s="625">
        <v>1458.24</v>
      </c>
      <c r="Z41" s="543">
        <v>1.621</v>
      </c>
      <c r="AA41" s="544">
        <v>23.7</v>
      </c>
      <c r="AB41" s="545">
        <v>1175</v>
      </c>
      <c r="AC41" s="545">
        <v>695</v>
      </c>
      <c r="AD41" s="546">
        <f t="shared" si="18"/>
        <v>0.95932198710781669</v>
      </c>
      <c r="AE41" s="545">
        <v>1796</v>
      </c>
      <c r="AF41" s="546">
        <f t="shared" si="19"/>
        <v>2.4790536530153076</v>
      </c>
      <c r="AG41" s="630">
        <v>724.47</v>
      </c>
      <c r="AH41" s="534">
        <v>0.105</v>
      </c>
      <c r="AI41" s="535">
        <v>61.7</v>
      </c>
      <c r="AJ41" s="536">
        <v>97</v>
      </c>
      <c r="AK41" s="536" t="s">
        <v>519</v>
      </c>
      <c r="AL41" s="537" t="s">
        <v>493</v>
      </c>
      <c r="AM41" s="536">
        <v>206</v>
      </c>
      <c r="AN41" s="548">
        <f t="shared" si="20"/>
        <v>0.22247902109230722</v>
      </c>
      <c r="AO41" s="618">
        <v>925.93</v>
      </c>
      <c r="AP41" s="549">
        <v>0.65</v>
      </c>
      <c r="AQ41" s="550">
        <v>42.5</v>
      </c>
      <c r="AR41" s="486">
        <v>430</v>
      </c>
      <c r="AS41" s="486">
        <v>187</v>
      </c>
      <c r="AT41" s="487">
        <f t="shared" si="21"/>
        <v>0.28290468986384265</v>
      </c>
      <c r="AU41" s="486">
        <v>893</v>
      </c>
      <c r="AV41" s="551">
        <f t="shared" si="22"/>
        <v>1.3509833585476552</v>
      </c>
      <c r="AW41" s="512">
        <v>661</v>
      </c>
      <c r="AX41" s="543">
        <v>5.8490000000000002</v>
      </c>
      <c r="AY41" s="544">
        <v>19</v>
      </c>
      <c r="AZ41" s="545">
        <v>5467</v>
      </c>
      <c r="BA41" s="545">
        <v>3339</v>
      </c>
      <c r="BB41" s="546">
        <f t="shared" si="23"/>
        <v>3.5711229946524066</v>
      </c>
      <c r="BC41" s="545">
        <v>7250</v>
      </c>
      <c r="BD41" s="547">
        <f t="shared" si="24"/>
        <v>7.7540106951871657</v>
      </c>
      <c r="BE41" s="633">
        <v>935</v>
      </c>
      <c r="BF41" s="552">
        <v>5.3040000000000003</v>
      </c>
      <c r="BG41" s="489">
        <v>20.9</v>
      </c>
      <c r="BH41" s="490">
        <v>3892</v>
      </c>
      <c r="BI41" s="490">
        <v>3031</v>
      </c>
      <c r="BJ41" s="490">
        <v>6170</v>
      </c>
      <c r="BK41" s="557">
        <v>733.73</v>
      </c>
      <c r="BL41" s="554">
        <v>1.167</v>
      </c>
      <c r="BM41" s="555">
        <v>67.3</v>
      </c>
      <c r="BN41" s="556">
        <v>497</v>
      </c>
      <c r="BO41" s="556">
        <v>244</v>
      </c>
      <c r="BP41" s="556">
        <v>1390</v>
      </c>
      <c r="BQ41" s="637">
        <v>425.42</v>
      </c>
      <c r="BR41" s="534" t="s">
        <v>518</v>
      </c>
      <c r="BS41" s="535" t="s">
        <v>518</v>
      </c>
      <c r="BT41" s="536">
        <v>55</v>
      </c>
      <c r="BU41" s="536">
        <v>2</v>
      </c>
      <c r="BV41" s="536">
        <v>140</v>
      </c>
      <c r="BW41" s="618">
        <v>441</v>
      </c>
      <c r="BX41" s="552" t="s">
        <v>518</v>
      </c>
      <c r="BY41" s="489" t="s">
        <v>518</v>
      </c>
      <c r="BZ41" s="490">
        <v>36</v>
      </c>
      <c r="CA41" s="490" t="s">
        <v>518</v>
      </c>
      <c r="CB41" s="490">
        <v>67</v>
      </c>
      <c r="CC41" s="557">
        <v>441</v>
      </c>
    </row>
    <row r="42" spans="1:81" x14ac:dyDescent="0.25">
      <c r="A42" s="932">
        <v>2010</v>
      </c>
      <c r="B42" s="534">
        <v>2.004</v>
      </c>
      <c r="C42" s="535">
        <v>26.8</v>
      </c>
      <c r="D42" s="536">
        <v>1694</v>
      </c>
      <c r="E42" s="536">
        <v>957</v>
      </c>
      <c r="F42" s="537">
        <f t="shared" si="12"/>
        <v>1.1322763842877426</v>
      </c>
      <c r="G42" s="538">
        <v>2712</v>
      </c>
      <c r="H42" s="539">
        <f t="shared" si="13"/>
        <v>3.2087079981069566</v>
      </c>
      <c r="I42" s="618">
        <v>845.2</v>
      </c>
      <c r="J42" s="540">
        <v>1.7829999999999999</v>
      </c>
      <c r="K42" s="494">
        <v>23.6</v>
      </c>
      <c r="L42" s="495">
        <v>2128</v>
      </c>
      <c r="M42" s="495">
        <v>1021</v>
      </c>
      <c r="N42" s="496">
        <f t="shared" si="14"/>
        <v>0.85533094857123704</v>
      </c>
      <c r="O42" s="495">
        <v>3052</v>
      </c>
      <c r="P42" s="541">
        <f t="shared" si="15"/>
        <v>2.5567777228593687</v>
      </c>
      <c r="Q42" s="621">
        <v>1193.69</v>
      </c>
      <c r="R42" s="542">
        <v>0.39100000000000001</v>
      </c>
      <c r="S42" s="499">
        <v>43.1</v>
      </c>
      <c r="T42" s="500">
        <v>571</v>
      </c>
      <c r="U42" s="500">
        <v>62</v>
      </c>
      <c r="V42" s="501">
        <f t="shared" si="16"/>
        <v>4.2517006802721087E-2</v>
      </c>
      <c r="W42" s="500">
        <v>1142</v>
      </c>
      <c r="X42" s="560">
        <f t="shared" si="17"/>
        <v>0.78313583497915296</v>
      </c>
      <c r="Y42" s="625">
        <v>1458.24</v>
      </c>
      <c r="Z42" s="543">
        <v>1.3360000000000001</v>
      </c>
      <c r="AA42" s="544">
        <v>23.8</v>
      </c>
      <c r="AB42" s="545">
        <v>968</v>
      </c>
      <c r="AC42" s="545">
        <v>552</v>
      </c>
      <c r="AD42" s="546">
        <f t="shared" si="18"/>
        <v>0.76193631206261125</v>
      </c>
      <c r="AE42" s="545">
        <v>1439</v>
      </c>
      <c r="AF42" s="546">
        <f t="shared" si="19"/>
        <v>1.9862796251052492</v>
      </c>
      <c r="AG42" s="630">
        <v>724.47</v>
      </c>
      <c r="AH42" s="534">
        <v>0.34300000000000003</v>
      </c>
      <c r="AI42" s="535">
        <v>71.900000000000006</v>
      </c>
      <c r="AJ42" s="536">
        <v>318</v>
      </c>
      <c r="AK42" s="536" t="s">
        <v>519</v>
      </c>
      <c r="AL42" s="537" t="s">
        <v>493</v>
      </c>
      <c r="AM42" s="536">
        <v>784</v>
      </c>
      <c r="AN42" s="548">
        <f t="shared" si="20"/>
        <v>0.84671627444839248</v>
      </c>
      <c r="AO42" s="618">
        <v>925.93</v>
      </c>
      <c r="AP42" s="549">
        <v>1.071</v>
      </c>
      <c r="AQ42" s="550">
        <v>50.1</v>
      </c>
      <c r="AR42" s="486">
        <v>708</v>
      </c>
      <c r="AS42" s="486">
        <v>239</v>
      </c>
      <c r="AT42" s="487">
        <f t="shared" si="21"/>
        <v>0.36157337367624809</v>
      </c>
      <c r="AU42" s="486">
        <v>1354</v>
      </c>
      <c r="AV42" s="551">
        <f t="shared" si="22"/>
        <v>2.0484114977307111</v>
      </c>
      <c r="AW42" s="512">
        <v>661</v>
      </c>
      <c r="AX42" s="543">
        <v>6.93</v>
      </c>
      <c r="AY42" s="544">
        <v>17.7</v>
      </c>
      <c r="AZ42" s="545">
        <v>6476</v>
      </c>
      <c r="BA42" s="545">
        <v>3691</v>
      </c>
      <c r="BB42" s="546">
        <f t="shared" si="23"/>
        <v>3.9475935828877007</v>
      </c>
      <c r="BC42" s="545">
        <v>8468</v>
      </c>
      <c r="BD42" s="547">
        <f t="shared" si="24"/>
        <v>9.0566844919786096</v>
      </c>
      <c r="BE42" s="633">
        <v>935</v>
      </c>
      <c r="BF42" s="552">
        <v>3.774</v>
      </c>
      <c r="BG42" s="489">
        <v>34.299999999999997</v>
      </c>
      <c r="BH42" s="490">
        <v>2769</v>
      </c>
      <c r="BI42" s="490">
        <v>1463</v>
      </c>
      <c r="BJ42" s="490">
        <v>5087</v>
      </c>
      <c r="BK42" s="557">
        <v>733.73</v>
      </c>
      <c r="BL42" s="554">
        <v>2.1059999999999999</v>
      </c>
      <c r="BM42" s="555">
        <v>36.299999999999997</v>
      </c>
      <c r="BN42" s="556">
        <v>896</v>
      </c>
      <c r="BO42" s="556">
        <v>431</v>
      </c>
      <c r="BP42" s="556">
        <v>1700</v>
      </c>
      <c r="BQ42" s="637">
        <v>425.42</v>
      </c>
      <c r="BR42" s="534" t="s">
        <v>518</v>
      </c>
      <c r="BS42" s="535" t="s">
        <v>518</v>
      </c>
      <c r="BT42" s="536">
        <v>81</v>
      </c>
      <c r="BU42" s="536">
        <v>3</v>
      </c>
      <c r="BV42" s="536">
        <v>200</v>
      </c>
      <c r="BW42" s="618">
        <v>441</v>
      </c>
      <c r="BX42" s="552" t="s">
        <v>518</v>
      </c>
      <c r="BY42" s="489" t="s">
        <v>518</v>
      </c>
      <c r="BZ42" s="490">
        <v>33</v>
      </c>
      <c r="CA42" s="490" t="s">
        <v>518</v>
      </c>
      <c r="CB42" s="490">
        <v>66</v>
      </c>
      <c r="CC42" s="557">
        <v>441</v>
      </c>
    </row>
    <row r="43" spans="1:81" x14ac:dyDescent="0.25">
      <c r="A43" s="932">
        <v>2011</v>
      </c>
      <c r="B43" s="534">
        <v>5.58</v>
      </c>
      <c r="C43" s="535">
        <v>20.3</v>
      </c>
      <c r="D43" s="536">
        <v>4717</v>
      </c>
      <c r="E43" s="536">
        <v>2621</v>
      </c>
      <c r="F43" s="537">
        <f t="shared" si="12"/>
        <v>3.1010411736867014</v>
      </c>
      <c r="G43" s="538">
        <v>6399</v>
      </c>
      <c r="H43" s="539">
        <f t="shared" si="13"/>
        <v>7.5709891150023658</v>
      </c>
      <c r="I43" s="618">
        <v>845.2</v>
      </c>
      <c r="J43" s="540">
        <v>1.2430000000000001</v>
      </c>
      <c r="K43" s="494">
        <v>23.7</v>
      </c>
      <c r="L43" s="495">
        <v>1484</v>
      </c>
      <c r="M43" s="495">
        <v>790</v>
      </c>
      <c r="N43" s="496">
        <f t="shared" si="14"/>
        <v>0.66181336863004625</v>
      </c>
      <c r="O43" s="495">
        <v>2147</v>
      </c>
      <c r="P43" s="541">
        <f t="shared" si="15"/>
        <v>1.7986244334793791</v>
      </c>
      <c r="Q43" s="621">
        <v>1193.69</v>
      </c>
      <c r="R43" s="542">
        <v>0.67600000000000005</v>
      </c>
      <c r="S43" s="499">
        <v>65.8</v>
      </c>
      <c r="T43" s="500">
        <v>986</v>
      </c>
      <c r="U43" s="500">
        <v>206</v>
      </c>
      <c r="V43" s="501">
        <f t="shared" si="16"/>
        <v>0.14126618389291201</v>
      </c>
      <c r="W43" s="500">
        <v>2384</v>
      </c>
      <c r="X43" s="560">
        <f t="shared" si="17"/>
        <v>1.6348474873820495</v>
      </c>
      <c r="Y43" s="625">
        <v>1458.24</v>
      </c>
      <c r="Z43" s="543">
        <v>1.3140000000000001</v>
      </c>
      <c r="AA43" s="544">
        <v>30.8</v>
      </c>
      <c r="AB43" s="545">
        <v>952</v>
      </c>
      <c r="AC43" s="545">
        <v>400</v>
      </c>
      <c r="AD43" s="546">
        <f t="shared" si="18"/>
        <v>0.55212776236421102</v>
      </c>
      <c r="AE43" s="545">
        <v>1572</v>
      </c>
      <c r="AF43" s="546">
        <f t="shared" si="19"/>
        <v>2.1698621060913497</v>
      </c>
      <c r="AG43" s="630">
        <v>724.47</v>
      </c>
      <c r="AH43" s="534">
        <v>0.25600000000000001</v>
      </c>
      <c r="AI43" s="535">
        <v>102</v>
      </c>
      <c r="AJ43" s="536">
        <v>237</v>
      </c>
      <c r="AK43" s="536">
        <v>38</v>
      </c>
      <c r="AL43" s="537">
        <f t="shared" si="25"/>
        <v>4.1039819424794531E-2</v>
      </c>
      <c r="AM43" s="536">
        <v>772</v>
      </c>
      <c r="AN43" s="548">
        <f t="shared" si="20"/>
        <v>0.83375633147214157</v>
      </c>
      <c r="AO43" s="618">
        <v>925.93</v>
      </c>
      <c r="AP43" s="549">
        <v>0.98</v>
      </c>
      <c r="AQ43" s="550">
        <v>38.6</v>
      </c>
      <c r="AR43" s="486">
        <v>648</v>
      </c>
      <c r="AS43" s="486">
        <v>343</v>
      </c>
      <c r="AT43" s="487">
        <f t="shared" si="21"/>
        <v>0.51891074130105896</v>
      </c>
      <c r="AU43" s="486">
        <v>1455</v>
      </c>
      <c r="AV43" s="551">
        <f t="shared" si="22"/>
        <v>2.201210287443268</v>
      </c>
      <c r="AW43" s="512">
        <v>661</v>
      </c>
      <c r="AX43" s="543">
        <v>7.2640000000000002</v>
      </c>
      <c r="AY43" s="544">
        <v>17.399999999999999</v>
      </c>
      <c r="AZ43" s="545">
        <v>6788</v>
      </c>
      <c r="BA43" s="545">
        <v>4304</v>
      </c>
      <c r="BB43" s="546">
        <f t="shared" si="23"/>
        <v>4.6032085561497329</v>
      </c>
      <c r="BC43" s="545">
        <v>9054</v>
      </c>
      <c r="BD43" s="547">
        <f t="shared" si="24"/>
        <v>9.6834224598930483</v>
      </c>
      <c r="BE43" s="633">
        <v>935</v>
      </c>
      <c r="BF43" s="552">
        <v>6.7240000000000002</v>
      </c>
      <c r="BG43" s="489">
        <v>42.2</v>
      </c>
      <c r="BH43" s="490">
        <v>4933</v>
      </c>
      <c r="BI43" s="490">
        <v>1643</v>
      </c>
      <c r="BJ43" s="490">
        <v>8767</v>
      </c>
      <c r="BK43" s="557">
        <v>733.73</v>
      </c>
      <c r="BL43" s="554">
        <v>2.5609999999999999</v>
      </c>
      <c r="BM43" s="555">
        <v>47.3</v>
      </c>
      <c r="BN43" s="556">
        <v>1090</v>
      </c>
      <c r="BO43" s="556">
        <v>592</v>
      </c>
      <c r="BP43" s="556">
        <v>2472</v>
      </c>
      <c r="BQ43" s="637">
        <v>425.42</v>
      </c>
      <c r="BR43" s="534">
        <v>0.24299999999999999</v>
      </c>
      <c r="BS43" s="535">
        <v>64.8</v>
      </c>
      <c r="BT43" s="536">
        <v>107</v>
      </c>
      <c r="BU43" s="536">
        <v>5</v>
      </c>
      <c r="BV43" s="536">
        <v>259</v>
      </c>
      <c r="BW43" s="618">
        <v>441</v>
      </c>
      <c r="BX43" s="552">
        <v>6.8000000000000005E-2</v>
      </c>
      <c r="BY43" s="489">
        <v>78.8</v>
      </c>
      <c r="BZ43" s="490">
        <v>30</v>
      </c>
      <c r="CA43" s="490" t="s">
        <v>518</v>
      </c>
      <c r="CB43" s="490">
        <v>66</v>
      </c>
      <c r="CC43" s="557">
        <v>441</v>
      </c>
    </row>
    <row r="44" spans="1:81" x14ac:dyDescent="0.25">
      <c r="A44" s="932">
        <v>2012</v>
      </c>
      <c r="B44" s="534">
        <v>7.1660000000000004</v>
      </c>
      <c r="C44" s="535">
        <v>24.4</v>
      </c>
      <c r="D44" s="536">
        <v>6056</v>
      </c>
      <c r="E44" s="536">
        <v>3289</v>
      </c>
      <c r="F44" s="537">
        <f t="shared" si="12"/>
        <v>3.8913866540463795</v>
      </c>
      <c r="G44" s="538">
        <v>8823</v>
      </c>
      <c r="H44" s="539">
        <f t="shared" si="13"/>
        <v>10.438949361097965</v>
      </c>
      <c r="I44" s="618">
        <v>845.2</v>
      </c>
      <c r="J44" s="540">
        <v>1.5069999999999999</v>
      </c>
      <c r="K44" s="494">
        <v>30.4</v>
      </c>
      <c r="L44" s="495">
        <v>1799</v>
      </c>
      <c r="M44" s="495">
        <v>812</v>
      </c>
      <c r="N44" s="496">
        <f t="shared" si="14"/>
        <v>0.68024361433873115</v>
      </c>
      <c r="O44" s="495">
        <v>2892</v>
      </c>
      <c r="P44" s="541">
        <f t="shared" si="15"/>
        <v>2.4227395722507516</v>
      </c>
      <c r="Q44" s="621">
        <v>1193.69</v>
      </c>
      <c r="R44" s="542">
        <v>0.40200000000000002</v>
      </c>
      <c r="S44" s="499">
        <v>48.1</v>
      </c>
      <c r="T44" s="500">
        <v>587</v>
      </c>
      <c r="U44" s="500">
        <v>168</v>
      </c>
      <c r="V44" s="501">
        <f t="shared" si="16"/>
        <v>0.1152073732718894</v>
      </c>
      <c r="W44" s="500">
        <v>1227</v>
      </c>
      <c r="X44" s="560">
        <f t="shared" si="17"/>
        <v>0.84142527978933512</v>
      </c>
      <c r="Y44" s="625">
        <v>1458.24</v>
      </c>
      <c r="Z44" s="543">
        <v>1.1779999999999999</v>
      </c>
      <c r="AA44" s="544">
        <v>29.2</v>
      </c>
      <c r="AB44" s="545">
        <v>853</v>
      </c>
      <c r="AC44" s="545">
        <v>325</v>
      </c>
      <c r="AD44" s="546">
        <f t="shared" si="18"/>
        <v>0.4486038069209215</v>
      </c>
      <c r="AE44" s="545">
        <v>1289</v>
      </c>
      <c r="AF44" s="546">
        <f t="shared" si="19"/>
        <v>1.7792317142186702</v>
      </c>
      <c r="AG44" s="630">
        <v>724.47</v>
      </c>
      <c r="AH44" s="534">
        <v>0.36</v>
      </c>
      <c r="AI44" s="535">
        <v>89.9</v>
      </c>
      <c r="AJ44" s="536">
        <v>333</v>
      </c>
      <c r="AK44" s="536" t="s">
        <v>519</v>
      </c>
      <c r="AL44" s="537" t="s">
        <v>493</v>
      </c>
      <c r="AM44" s="536">
        <v>1459</v>
      </c>
      <c r="AN44" s="548">
        <f t="shared" si="20"/>
        <v>1.5757130668625059</v>
      </c>
      <c r="AO44" s="618">
        <v>925.93</v>
      </c>
      <c r="AP44" s="549">
        <v>0.89500000000000002</v>
      </c>
      <c r="AQ44" s="550">
        <v>34.9</v>
      </c>
      <c r="AR44" s="486">
        <v>591</v>
      </c>
      <c r="AS44" s="486">
        <v>227</v>
      </c>
      <c r="AT44" s="487">
        <f t="shared" si="21"/>
        <v>0.34341906202723149</v>
      </c>
      <c r="AU44" s="486">
        <v>1042</v>
      </c>
      <c r="AV44" s="551">
        <f t="shared" si="22"/>
        <v>1.5763993948562784</v>
      </c>
      <c r="AW44" s="512">
        <v>661</v>
      </c>
      <c r="AX44" s="543">
        <v>6.1719999999999997</v>
      </c>
      <c r="AY44" s="544">
        <v>15.9</v>
      </c>
      <c r="AZ44" s="545">
        <v>5768</v>
      </c>
      <c r="BA44" s="545">
        <v>3775</v>
      </c>
      <c r="BB44" s="546">
        <f t="shared" si="23"/>
        <v>4.0374331550802136</v>
      </c>
      <c r="BC44" s="545">
        <v>7330</v>
      </c>
      <c r="BD44" s="547">
        <f t="shared" si="24"/>
        <v>7.8395721925133692</v>
      </c>
      <c r="BE44" s="633">
        <v>935</v>
      </c>
      <c r="BF44" s="552">
        <v>6.05</v>
      </c>
      <c r="BG44" s="489">
        <v>27.6</v>
      </c>
      <c r="BH44" s="490">
        <v>4439</v>
      </c>
      <c r="BI44" s="490">
        <v>2916</v>
      </c>
      <c r="BJ44" s="490">
        <v>7497</v>
      </c>
      <c r="BK44" s="557">
        <v>733.73</v>
      </c>
      <c r="BL44" s="554">
        <v>1.2250000000000001</v>
      </c>
      <c r="BM44" s="555">
        <v>39.6</v>
      </c>
      <c r="BN44" s="556">
        <v>521</v>
      </c>
      <c r="BO44" s="556">
        <v>166</v>
      </c>
      <c r="BP44" s="556">
        <v>940</v>
      </c>
      <c r="BQ44" s="637">
        <v>425.42</v>
      </c>
      <c r="BR44" s="534" t="s">
        <v>518</v>
      </c>
      <c r="BS44" s="535" t="s">
        <v>518</v>
      </c>
      <c r="BT44" s="536">
        <v>89</v>
      </c>
      <c r="BU44" s="536">
        <v>5</v>
      </c>
      <c r="BV44" s="536">
        <v>189</v>
      </c>
      <c r="BW44" s="618">
        <v>441</v>
      </c>
      <c r="BX44" s="552" t="s">
        <v>518</v>
      </c>
      <c r="BY44" s="489" t="s">
        <v>518</v>
      </c>
      <c r="BZ44" s="490">
        <v>15</v>
      </c>
      <c r="CA44" s="490" t="s">
        <v>518</v>
      </c>
      <c r="CB44" s="490">
        <v>33</v>
      </c>
      <c r="CC44" s="557">
        <v>441</v>
      </c>
    </row>
    <row r="45" spans="1:81" x14ac:dyDescent="0.25">
      <c r="A45" s="932">
        <v>2013</v>
      </c>
      <c r="B45" s="534">
        <v>2.379</v>
      </c>
      <c r="C45" s="535">
        <v>31.4</v>
      </c>
      <c r="D45" s="536">
        <v>2010</v>
      </c>
      <c r="E45" s="536">
        <v>861</v>
      </c>
      <c r="F45" s="537">
        <f t="shared" si="12"/>
        <v>1.0186938002839565</v>
      </c>
      <c r="G45" s="538">
        <v>3253</v>
      </c>
      <c r="H45" s="539">
        <f t="shared" si="13"/>
        <v>3.8487931850449595</v>
      </c>
      <c r="I45" s="618">
        <v>845.2</v>
      </c>
      <c r="J45" s="540">
        <v>0.65700000000000003</v>
      </c>
      <c r="K45" s="494">
        <v>20.100000000000001</v>
      </c>
      <c r="L45" s="495">
        <v>784</v>
      </c>
      <c r="M45" s="495">
        <v>508</v>
      </c>
      <c r="N45" s="496">
        <f t="shared" si="14"/>
        <v>0.42557112818235887</v>
      </c>
      <c r="O45" s="495">
        <v>1124</v>
      </c>
      <c r="P45" s="541">
        <f>O45/Q45</f>
        <v>0.94161800802553419</v>
      </c>
      <c r="Q45" s="621">
        <v>1193.69</v>
      </c>
      <c r="R45" s="542">
        <v>1.097</v>
      </c>
      <c r="S45" s="499">
        <v>64.400000000000006</v>
      </c>
      <c r="T45" s="500">
        <v>1600</v>
      </c>
      <c r="U45" s="500">
        <v>381</v>
      </c>
      <c r="V45" s="501">
        <f t="shared" si="16"/>
        <v>0.26127386438446348</v>
      </c>
      <c r="W45" s="500">
        <v>3717</v>
      </c>
      <c r="X45" s="560">
        <f>W45/Y45</f>
        <v>2.5489631336405529</v>
      </c>
      <c r="Y45" s="625">
        <v>1458.24</v>
      </c>
      <c r="Z45" s="543">
        <v>1.6040000000000001</v>
      </c>
      <c r="AA45" s="544">
        <v>19.8</v>
      </c>
      <c r="AB45" s="545">
        <v>1162</v>
      </c>
      <c r="AC45" s="545">
        <v>843</v>
      </c>
      <c r="AD45" s="546">
        <f t="shared" si="18"/>
        <v>1.1636092591825749</v>
      </c>
      <c r="AE45" s="545">
        <v>1728</v>
      </c>
      <c r="AF45" s="546">
        <f t="shared" si="19"/>
        <v>2.3851919334133918</v>
      </c>
      <c r="AG45" s="630">
        <v>724.47</v>
      </c>
      <c r="AH45" s="534">
        <v>9.6000000000000002E-2</v>
      </c>
      <c r="AI45" s="535">
        <v>58.3</v>
      </c>
      <c r="AJ45" s="536">
        <v>89</v>
      </c>
      <c r="AK45" s="536" t="s">
        <v>519</v>
      </c>
      <c r="AL45" s="537" t="s">
        <v>493</v>
      </c>
      <c r="AM45" s="536">
        <v>189</v>
      </c>
      <c r="AN45" s="548">
        <f t="shared" si="20"/>
        <v>0.20411910187595175</v>
      </c>
      <c r="AO45" s="618">
        <v>925.93</v>
      </c>
      <c r="AP45" s="549">
        <v>0.99099999999999999</v>
      </c>
      <c r="AQ45" s="550">
        <v>43.8</v>
      </c>
      <c r="AR45" s="486">
        <v>655</v>
      </c>
      <c r="AS45" s="486">
        <v>151</v>
      </c>
      <c r="AT45" s="487">
        <f t="shared" si="21"/>
        <v>0.22844175491679275</v>
      </c>
      <c r="AU45" s="486">
        <v>1226</v>
      </c>
      <c r="AV45" s="551">
        <f t="shared" si="22"/>
        <v>1.8547655068078668</v>
      </c>
      <c r="AW45" s="512">
        <v>661</v>
      </c>
      <c r="AX45" s="543">
        <v>7.7309999999999999</v>
      </c>
      <c r="AY45" s="544">
        <v>17.8</v>
      </c>
      <c r="AZ45" s="545">
        <v>7225</v>
      </c>
      <c r="BA45" s="545">
        <v>4707</v>
      </c>
      <c r="BB45" s="546">
        <f t="shared" si="23"/>
        <v>5.0342245989304812</v>
      </c>
      <c r="BC45" s="545">
        <v>9667</v>
      </c>
      <c r="BD45" s="547">
        <f t="shared" si="24"/>
        <v>10.339037433155081</v>
      </c>
      <c r="BE45" s="633">
        <v>935</v>
      </c>
      <c r="BF45" s="552">
        <v>7.3840000000000003</v>
      </c>
      <c r="BG45" s="489">
        <v>21.8</v>
      </c>
      <c r="BH45" s="490">
        <v>5418</v>
      </c>
      <c r="BI45" s="490">
        <v>3939</v>
      </c>
      <c r="BJ45" s="490">
        <v>8516</v>
      </c>
      <c r="BK45" s="557">
        <v>733.73</v>
      </c>
      <c r="BL45" s="554">
        <v>1.4770000000000001</v>
      </c>
      <c r="BM45" s="555">
        <v>36.700000000000003</v>
      </c>
      <c r="BN45" s="556">
        <v>629</v>
      </c>
      <c r="BO45" s="556">
        <v>279</v>
      </c>
      <c r="BP45" s="556">
        <v>1184</v>
      </c>
      <c r="BQ45" s="637">
        <v>425.42</v>
      </c>
      <c r="BR45" s="534">
        <v>0.16</v>
      </c>
      <c r="BS45" s="535">
        <v>45.4</v>
      </c>
      <c r="BT45" s="536">
        <v>71</v>
      </c>
      <c r="BU45" s="536">
        <v>5</v>
      </c>
      <c r="BV45" s="536">
        <v>118</v>
      </c>
      <c r="BW45" s="618">
        <v>441</v>
      </c>
      <c r="BX45" s="552">
        <v>0</v>
      </c>
      <c r="BY45" s="489" t="s">
        <v>518</v>
      </c>
      <c r="BZ45" s="490" t="s">
        <v>518</v>
      </c>
      <c r="CA45" s="490" t="s">
        <v>518</v>
      </c>
      <c r="CB45" s="490" t="s">
        <v>518</v>
      </c>
      <c r="CC45" s="557">
        <v>441</v>
      </c>
    </row>
    <row r="46" spans="1:81" x14ac:dyDescent="0.25">
      <c r="A46" s="932">
        <v>2014</v>
      </c>
      <c r="B46" s="534">
        <v>1.2350000000000001</v>
      </c>
      <c r="C46" s="535">
        <v>28</v>
      </c>
      <c r="D46" s="536">
        <v>1044</v>
      </c>
      <c r="E46" s="536">
        <v>558</v>
      </c>
      <c r="F46" s="537">
        <f t="shared" si="12"/>
        <v>0.66019876952200662</v>
      </c>
      <c r="G46" s="538">
        <v>1643</v>
      </c>
      <c r="H46" s="539">
        <f t="shared" si="13"/>
        <v>1.9439185991481305</v>
      </c>
      <c r="I46" s="618">
        <v>845.2</v>
      </c>
      <c r="J46" s="540">
        <v>1.274</v>
      </c>
      <c r="K46" s="494">
        <v>27.2</v>
      </c>
      <c r="L46" s="495">
        <v>1521</v>
      </c>
      <c r="M46" s="495">
        <v>600</v>
      </c>
      <c r="N46" s="496">
        <f>M46/Q46</f>
        <v>0.50264306478231369</v>
      </c>
      <c r="O46" s="495">
        <v>2219</v>
      </c>
      <c r="P46" s="541">
        <f t="shared" si="15"/>
        <v>1.8589416012532567</v>
      </c>
      <c r="Q46" s="621">
        <v>1193.69</v>
      </c>
      <c r="R46" s="542">
        <v>0.16200000000000001</v>
      </c>
      <c r="S46" s="499">
        <v>70.900000000000006</v>
      </c>
      <c r="T46" s="500">
        <v>236</v>
      </c>
      <c r="U46" s="500" t="s">
        <v>518</v>
      </c>
      <c r="V46" s="501" t="s">
        <v>493</v>
      </c>
      <c r="W46" s="500">
        <v>541</v>
      </c>
      <c r="X46" s="560">
        <f>W46/Y46</f>
        <v>0.37099517226245338</v>
      </c>
      <c r="Y46" s="625">
        <v>1458.24</v>
      </c>
      <c r="Z46" s="543">
        <v>2.879</v>
      </c>
      <c r="AA46" s="544">
        <v>31.5</v>
      </c>
      <c r="AB46" s="545">
        <v>2086</v>
      </c>
      <c r="AC46" s="545">
        <v>925</v>
      </c>
      <c r="AD46" s="546">
        <f t="shared" si="18"/>
        <v>1.2767954504672381</v>
      </c>
      <c r="AE46" s="545">
        <v>3466</v>
      </c>
      <c r="AF46" s="546">
        <f t="shared" si="19"/>
        <v>4.7841870608858885</v>
      </c>
      <c r="AG46" s="630">
        <v>724.47</v>
      </c>
      <c r="AH46" s="534">
        <v>9.8000000000000004E-2</v>
      </c>
      <c r="AI46" s="535">
        <v>65.599999999999994</v>
      </c>
      <c r="AJ46" s="536">
        <v>90</v>
      </c>
      <c r="AK46" s="536" t="s">
        <v>519</v>
      </c>
      <c r="AL46" s="537" t="s">
        <v>493</v>
      </c>
      <c r="AM46" s="536" t="s">
        <v>519</v>
      </c>
      <c r="AN46" s="558" t="s">
        <v>493</v>
      </c>
      <c r="AO46" s="618">
        <v>925.93</v>
      </c>
      <c r="AP46" s="549">
        <v>1.4770000000000001</v>
      </c>
      <c r="AQ46" s="550">
        <v>34.1</v>
      </c>
      <c r="AR46" s="486">
        <v>976</v>
      </c>
      <c r="AS46" s="486">
        <v>286</v>
      </c>
      <c r="AT46" s="487">
        <f t="shared" si="21"/>
        <v>0.43267776096822996</v>
      </c>
      <c r="AU46" s="486">
        <v>1587</v>
      </c>
      <c r="AV46" s="551">
        <f t="shared" si="22"/>
        <v>2.4009077155824508</v>
      </c>
      <c r="AW46" s="512">
        <v>661</v>
      </c>
      <c r="AX46" s="543">
        <v>8.4149999999999991</v>
      </c>
      <c r="AY46" s="544">
        <v>13.1</v>
      </c>
      <c r="AZ46" s="545">
        <v>7864</v>
      </c>
      <c r="BA46" s="545">
        <v>6156</v>
      </c>
      <c r="BB46" s="546">
        <f t="shared" si="23"/>
        <v>6.5839572192513369</v>
      </c>
      <c r="BC46" s="545">
        <v>10240</v>
      </c>
      <c r="BD46" s="547">
        <f t="shared" si="24"/>
        <v>10.95187165775401</v>
      </c>
      <c r="BE46" s="633">
        <v>935</v>
      </c>
      <c r="BF46" s="552" t="s">
        <v>519</v>
      </c>
      <c r="BG46" s="491" t="s">
        <v>519</v>
      </c>
      <c r="BH46" s="491" t="s">
        <v>519</v>
      </c>
      <c r="BI46" s="491" t="s">
        <v>519</v>
      </c>
      <c r="BJ46" s="491" t="s">
        <v>519</v>
      </c>
      <c r="BK46" s="635" t="s">
        <v>519</v>
      </c>
      <c r="BL46" s="554" t="s">
        <v>519</v>
      </c>
      <c r="BM46" s="559" t="s">
        <v>519</v>
      </c>
      <c r="BN46" s="559" t="s">
        <v>519</v>
      </c>
      <c r="BO46" s="559" t="s">
        <v>519</v>
      </c>
      <c r="BP46" s="559" t="s">
        <v>519</v>
      </c>
      <c r="BQ46" s="638" t="s">
        <v>519</v>
      </c>
      <c r="BR46" s="534" t="s">
        <v>518</v>
      </c>
      <c r="BS46" s="535" t="s">
        <v>518</v>
      </c>
      <c r="BT46" s="536" t="s">
        <v>518</v>
      </c>
      <c r="BU46" s="536" t="s">
        <v>518</v>
      </c>
      <c r="BV46" s="536" t="s">
        <v>518</v>
      </c>
      <c r="BW46" s="618" t="s">
        <v>518</v>
      </c>
      <c r="BX46" s="552" t="s">
        <v>518</v>
      </c>
      <c r="BY46" s="489" t="s">
        <v>518</v>
      </c>
      <c r="BZ46" s="490" t="s">
        <v>518</v>
      </c>
      <c r="CA46" s="490" t="s">
        <v>518</v>
      </c>
      <c r="CB46" s="490" t="s">
        <v>518</v>
      </c>
      <c r="CC46" s="557" t="s">
        <v>518</v>
      </c>
    </row>
    <row r="47" spans="1:81" x14ac:dyDescent="0.25">
      <c r="A47" s="508">
        <v>2015</v>
      </c>
      <c r="B47" s="534">
        <v>2.218</v>
      </c>
      <c r="C47" s="535">
        <v>35.799999999999997</v>
      </c>
      <c r="D47" s="536">
        <v>1875</v>
      </c>
      <c r="E47" s="536">
        <v>829</v>
      </c>
      <c r="F47" s="537">
        <f t="shared" si="12"/>
        <v>0.98083293894936108</v>
      </c>
      <c r="G47" s="538">
        <v>3383</v>
      </c>
      <c r="H47" s="539">
        <f t="shared" si="13"/>
        <v>4.0026029342167533</v>
      </c>
      <c r="I47" s="618">
        <v>845.2</v>
      </c>
      <c r="J47" s="540">
        <v>1.9450000000000001</v>
      </c>
      <c r="K47" s="494">
        <v>29.9</v>
      </c>
      <c r="L47" s="495">
        <v>2321</v>
      </c>
      <c r="M47" s="495">
        <v>1148</v>
      </c>
      <c r="N47" s="496">
        <f>M47/Q47</f>
        <v>0.96172373061682681</v>
      </c>
      <c r="O47" s="495">
        <v>3863</v>
      </c>
      <c r="P47" s="541">
        <f t="shared" si="15"/>
        <v>3.2361835987567962</v>
      </c>
      <c r="Q47" s="621">
        <v>1193.69</v>
      </c>
      <c r="R47" s="542">
        <v>6.4000000000000001E-2</v>
      </c>
      <c r="S47" s="499">
        <v>92.6</v>
      </c>
      <c r="T47" s="500">
        <v>94</v>
      </c>
      <c r="U47" s="500" t="s">
        <v>518</v>
      </c>
      <c r="V47" s="501" t="s">
        <v>493</v>
      </c>
      <c r="W47" s="500">
        <v>267</v>
      </c>
      <c r="X47" s="560">
        <f>W47/Y47</f>
        <v>0.18309743252139565</v>
      </c>
      <c r="Y47" s="625">
        <v>1458.24</v>
      </c>
      <c r="Z47" s="543">
        <v>2.8490000000000002</v>
      </c>
      <c r="AA47" s="544">
        <v>27.9</v>
      </c>
      <c r="AB47" s="545">
        <v>2064</v>
      </c>
      <c r="AC47" s="545">
        <v>1176</v>
      </c>
      <c r="AD47" s="546">
        <f t="shared" si="18"/>
        <v>1.6232556213507805</v>
      </c>
      <c r="AE47" s="545">
        <v>3316</v>
      </c>
      <c r="AF47" s="546">
        <f t="shared" si="19"/>
        <v>4.5771391499993097</v>
      </c>
      <c r="AG47" s="630">
        <v>724.47</v>
      </c>
      <c r="AH47" s="534">
        <v>1.2310000000000001</v>
      </c>
      <c r="AI47" s="535">
        <v>71.2</v>
      </c>
      <c r="AJ47" s="536">
        <v>1140</v>
      </c>
      <c r="AK47" s="536">
        <v>144</v>
      </c>
      <c r="AL47" s="537">
        <f t="shared" si="25"/>
        <v>0.15551931571501088</v>
      </c>
      <c r="AM47" s="536">
        <v>3290</v>
      </c>
      <c r="AN47" s="548">
        <f t="shared" si="20"/>
        <v>3.5531843659887898</v>
      </c>
      <c r="AO47" s="618">
        <v>925.93</v>
      </c>
      <c r="AP47" s="1470" t="s">
        <v>520</v>
      </c>
      <c r="AQ47" s="1457"/>
      <c r="AR47" s="1457"/>
      <c r="AS47" s="1457"/>
      <c r="AT47" s="1457"/>
      <c r="AU47" s="1457"/>
      <c r="AV47" s="1457"/>
      <c r="AW47" s="1458"/>
      <c r="AX47" s="1495" t="s">
        <v>520</v>
      </c>
      <c r="AY47" s="1457"/>
      <c r="AZ47" s="1457"/>
      <c r="BA47" s="1457"/>
      <c r="BB47" s="1457"/>
      <c r="BC47" s="1457"/>
      <c r="BD47" s="1457"/>
      <c r="BE47" s="1458"/>
      <c r="BF47" s="995">
        <v>9.8970000000000002</v>
      </c>
      <c r="BG47" s="553">
        <v>17.3</v>
      </c>
      <c r="BH47" s="553">
        <v>7262</v>
      </c>
      <c r="BI47" s="553">
        <v>5906</v>
      </c>
      <c r="BJ47" s="553">
        <v>10692</v>
      </c>
      <c r="BK47" s="557">
        <v>733.73</v>
      </c>
      <c r="BL47" s="554">
        <v>3.48</v>
      </c>
      <c r="BM47" s="555">
        <v>48.9</v>
      </c>
      <c r="BN47" s="556">
        <v>1481</v>
      </c>
      <c r="BO47" s="556">
        <v>859</v>
      </c>
      <c r="BP47" s="556">
        <v>3713</v>
      </c>
      <c r="BQ47" s="637">
        <v>425.42</v>
      </c>
      <c r="BR47" s="1483" t="s">
        <v>521</v>
      </c>
      <c r="BS47" s="1484"/>
      <c r="BT47" s="1484"/>
      <c r="BU47" s="1484"/>
      <c r="BV47" s="1484"/>
      <c r="BW47" s="1485"/>
      <c r="BX47" s="1486" t="s">
        <v>521</v>
      </c>
      <c r="BY47" s="1487"/>
      <c r="BZ47" s="1487"/>
      <c r="CA47" s="1487"/>
      <c r="CB47" s="1487"/>
      <c r="CC47" s="1488"/>
    </row>
    <row r="48" spans="1:81" s="443" customFormat="1" ht="14.4" x14ac:dyDescent="0.3">
      <c r="A48" s="935">
        <v>2016</v>
      </c>
      <c r="B48" s="463">
        <v>2.6930000000000001</v>
      </c>
      <c r="C48" s="535">
        <v>36.6</v>
      </c>
      <c r="D48" s="464">
        <v>2276</v>
      </c>
      <c r="E48" s="464">
        <v>969</v>
      </c>
      <c r="F48" s="18">
        <f t="shared" si="12"/>
        <v>1.1464742072882157</v>
      </c>
      <c r="G48" s="597">
        <v>4062</v>
      </c>
      <c r="H48" s="19">
        <f t="shared" si="13"/>
        <v>4.8059630856601983</v>
      </c>
      <c r="I48" s="619">
        <v>845.2</v>
      </c>
      <c r="J48" s="465">
        <v>1.655</v>
      </c>
      <c r="K48" s="494">
        <v>51.7</v>
      </c>
      <c r="L48" s="466">
        <v>1975</v>
      </c>
      <c r="M48" s="466">
        <v>617</v>
      </c>
      <c r="N48" s="11">
        <f>M48/Q48</f>
        <v>0.51688461828447918</v>
      </c>
      <c r="O48" s="10">
        <v>4075</v>
      </c>
      <c r="P48" s="20">
        <f t="shared" si="15"/>
        <v>3.4137841483132134</v>
      </c>
      <c r="Q48" s="622">
        <v>1193.69</v>
      </c>
      <c r="R48" s="467">
        <v>0.249</v>
      </c>
      <c r="S48" s="499">
        <v>37.700000000000003</v>
      </c>
      <c r="T48" s="468">
        <v>362</v>
      </c>
      <c r="U48" s="468">
        <v>106</v>
      </c>
      <c r="V48" s="274">
        <f>U48/W48</f>
        <v>0.17069243156199679</v>
      </c>
      <c r="W48" s="12">
        <v>621</v>
      </c>
      <c r="X48" s="274">
        <f>W48/Y48</f>
        <v>0.4258558262014483</v>
      </c>
      <c r="Y48" s="626">
        <v>1458.24</v>
      </c>
      <c r="Z48" s="1464" t="s">
        <v>500</v>
      </c>
      <c r="AA48" s="1465"/>
      <c r="AB48" s="1465"/>
      <c r="AC48" s="1465"/>
      <c r="AD48" s="1465"/>
      <c r="AE48" s="1465"/>
      <c r="AF48" s="1465"/>
      <c r="AG48" s="1466"/>
      <c r="AH48" s="1467" t="s">
        <v>500</v>
      </c>
      <c r="AI48" s="1468"/>
      <c r="AJ48" s="1468"/>
      <c r="AK48" s="1468"/>
      <c r="AL48" s="1468"/>
      <c r="AM48" s="1468"/>
      <c r="AN48" s="1468"/>
      <c r="AO48" s="1469"/>
      <c r="AP48" s="23">
        <v>0.86199999999999999</v>
      </c>
      <c r="AQ48" s="550">
        <v>27.9</v>
      </c>
      <c r="AR48" s="7">
        <v>570</v>
      </c>
      <c r="AS48" s="7">
        <v>346</v>
      </c>
      <c r="AT48" s="9">
        <f>AS48/AW48</f>
        <v>0.52344931921331317</v>
      </c>
      <c r="AU48" s="8">
        <v>944</v>
      </c>
      <c r="AV48" s="27">
        <f>AU48/AW48</f>
        <v>1.4281391830559758</v>
      </c>
      <c r="AW48" s="469">
        <v>661</v>
      </c>
      <c r="AX48" s="21">
        <v>6.681</v>
      </c>
      <c r="AY48" s="544">
        <v>14.8</v>
      </c>
      <c r="AZ48" s="598">
        <v>6244</v>
      </c>
      <c r="BA48" s="598">
        <v>4760</v>
      </c>
      <c r="BB48" s="26">
        <f>BA48/BE48</f>
        <v>5.0909090909090908</v>
      </c>
      <c r="BC48" s="22">
        <v>8195</v>
      </c>
      <c r="BD48" s="25">
        <f>BC48/BE48</f>
        <v>8.764705882352942</v>
      </c>
      <c r="BE48" s="634">
        <v>935</v>
      </c>
      <c r="BF48" s="1489" t="s">
        <v>500</v>
      </c>
      <c r="BG48" s="1490"/>
      <c r="BH48" s="1490"/>
      <c r="BI48" s="1490"/>
      <c r="BJ48" s="1490"/>
      <c r="BK48" s="1491"/>
      <c r="BL48" s="1492" t="s">
        <v>500</v>
      </c>
      <c r="BM48" s="1493"/>
      <c r="BN48" s="1493"/>
      <c r="BO48" s="1493"/>
      <c r="BP48" s="1493"/>
      <c r="BQ48" s="1494"/>
      <c r="BR48" s="1467" t="s">
        <v>500</v>
      </c>
      <c r="BS48" s="1468"/>
      <c r="BT48" s="1468"/>
      <c r="BU48" s="1468"/>
      <c r="BV48" s="1468"/>
      <c r="BW48" s="1469"/>
      <c r="BX48" s="1489" t="s">
        <v>500</v>
      </c>
      <c r="BY48" s="1490"/>
      <c r="BZ48" s="1490"/>
      <c r="CA48" s="1490"/>
      <c r="CB48" s="1490"/>
      <c r="CC48" s="1491"/>
    </row>
    <row r="49" spans="1:81" s="919" customFormat="1" ht="14.4" x14ac:dyDescent="0.3">
      <c r="A49" s="935">
        <v>2017</v>
      </c>
      <c r="B49" s="1467" t="s">
        <v>501</v>
      </c>
      <c r="C49" s="1468"/>
      <c r="D49" s="1468"/>
      <c r="E49" s="1468"/>
      <c r="F49" s="1468"/>
      <c r="G49" s="1468"/>
      <c r="H49" s="1468"/>
      <c r="I49" s="1469"/>
      <c r="J49" s="1496" t="s">
        <v>501</v>
      </c>
      <c r="K49" s="1497"/>
      <c r="L49" s="1497"/>
      <c r="M49" s="1497"/>
      <c r="N49" s="1497"/>
      <c r="O49" s="1497"/>
      <c r="P49" s="1497"/>
      <c r="Q49" s="1498"/>
      <c r="R49" s="1499" t="s">
        <v>501</v>
      </c>
      <c r="S49" s="1500"/>
      <c r="T49" s="1500"/>
      <c r="U49" s="1500"/>
      <c r="V49" s="1500"/>
      <c r="W49" s="1500"/>
      <c r="X49" s="1500"/>
      <c r="Y49" s="1501"/>
      <c r="Z49" s="543">
        <v>2.1269999999999998</v>
      </c>
      <c r="AA49" s="544">
        <v>25.8</v>
      </c>
      <c r="AB49" s="545">
        <v>1541</v>
      </c>
      <c r="AC49" s="545">
        <v>820</v>
      </c>
      <c r="AD49" s="546">
        <f t="shared" si="18"/>
        <v>1.1318619128466327</v>
      </c>
      <c r="AE49" s="545">
        <v>2353</v>
      </c>
      <c r="AF49" s="546">
        <f t="shared" ref="AF49:AF51" si="26">AE49/AG49</f>
        <v>3.2478915621074718</v>
      </c>
      <c r="AG49" s="630">
        <v>724.47</v>
      </c>
      <c r="AH49" s="534">
        <v>0.23499999999999999</v>
      </c>
      <c r="AI49" s="535">
        <v>36.5</v>
      </c>
      <c r="AJ49" s="536">
        <v>218</v>
      </c>
      <c r="AK49" s="536">
        <v>56</v>
      </c>
      <c r="AL49" s="537">
        <f t="shared" ref="AL49:AL53" si="27">AK49/AO49</f>
        <v>6.047973388917089E-2</v>
      </c>
      <c r="AM49" s="536">
        <v>363</v>
      </c>
      <c r="AN49" s="548">
        <f t="shared" ref="AN49:AN51" si="28">AM49/AO49</f>
        <v>0.39203827503158989</v>
      </c>
      <c r="AO49" s="618">
        <v>925.93</v>
      </c>
      <c r="AP49" s="1470" t="s">
        <v>501</v>
      </c>
      <c r="AQ49" s="1471"/>
      <c r="AR49" s="1471"/>
      <c r="AS49" s="1471"/>
      <c r="AT49" s="1471"/>
      <c r="AU49" s="1471"/>
      <c r="AV49" s="1471"/>
      <c r="AW49" s="1472"/>
      <c r="AX49" s="1453" t="s">
        <v>501</v>
      </c>
      <c r="AY49" s="1454"/>
      <c r="AZ49" s="1454"/>
      <c r="BA49" s="1454"/>
      <c r="BB49" s="1454"/>
      <c r="BC49" s="1454"/>
      <c r="BD49" s="1454"/>
      <c r="BE49" s="1455"/>
      <c r="BF49" s="995">
        <v>9.1850000000000005</v>
      </c>
      <c r="BG49" s="553">
        <v>15.7</v>
      </c>
      <c r="BH49" s="553">
        <v>6740</v>
      </c>
      <c r="BI49" s="553">
        <v>4677</v>
      </c>
      <c r="BJ49" s="553">
        <v>8890</v>
      </c>
      <c r="BK49" s="557">
        <v>733.73</v>
      </c>
      <c r="BL49" s="554">
        <v>4.2480000000000002</v>
      </c>
      <c r="BM49" s="555">
        <v>11.7</v>
      </c>
      <c r="BN49" s="556">
        <v>1807</v>
      </c>
      <c r="BO49" s="556">
        <v>813</v>
      </c>
      <c r="BP49" s="556">
        <v>3223</v>
      </c>
      <c r="BQ49" s="637">
        <v>425.42</v>
      </c>
      <c r="BR49" s="534">
        <v>0.76800000000000002</v>
      </c>
      <c r="BS49" s="535">
        <v>188</v>
      </c>
      <c r="BT49" s="536">
        <v>339</v>
      </c>
      <c r="BU49" s="536">
        <v>63</v>
      </c>
      <c r="BV49" s="536">
        <v>736</v>
      </c>
      <c r="BW49" s="618">
        <v>441</v>
      </c>
      <c r="BX49" s="552">
        <v>1.2070000000000001</v>
      </c>
      <c r="BY49" s="489">
        <v>48.8</v>
      </c>
      <c r="BZ49" s="490">
        <v>533</v>
      </c>
      <c r="CA49" s="490">
        <v>321</v>
      </c>
      <c r="CB49" s="490">
        <v>1208</v>
      </c>
      <c r="CC49" s="557">
        <v>441</v>
      </c>
    </row>
    <row r="50" spans="1:81" s="919" customFormat="1" ht="14.4" x14ac:dyDescent="0.3">
      <c r="A50" s="935">
        <v>2018</v>
      </c>
      <c r="B50" s="463">
        <v>1.4019999999999999</v>
      </c>
      <c r="C50" s="535">
        <v>44.8</v>
      </c>
      <c r="D50" s="464">
        <v>1185</v>
      </c>
      <c r="E50" s="464">
        <v>339</v>
      </c>
      <c r="F50" s="18">
        <f t="shared" si="12"/>
        <v>0.40108849976336958</v>
      </c>
      <c r="G50" s="597">
        <v>2367</v>
      </c>
      <c r="H50" s="19">
        <f t="shared" ref="H50:H54" si="29">G50/I50</f>
        <v>2.8005205868433505</v>
      </c>
      <c r="I50" s="619">
        <v>845.2</v>
      </c>
      <c r="J50" s="465">
        <v>1.034</v>
      </c>
      <c r="K50" s="494">
        <v>29.6</v>
      </c>
      <c r="L50" s="466">
        <v>1234</v>
      </c>
      <c r="M50" s="466">
        <v>543</v>
      </c>
      <c r="N50" s="11">
        <f>M50/Q50</f>
        <v>0.45489197362799383</v>
      </c>
      <c r="O50" s="10">
        <v>1947</v>
      </c>
      <c r="P50" s="20">
        <f t="shared" si="15"/>
        <v>1.6310767452186077</v>
      </c>
      <c r="Q50" s="622">
        <v>1193.69</v>
      </c>
      <c r="R50" s="467">
        <v>0.97699999999999998</v>
      </c>
      <c r="S50" s="499">
        <v>87.4</v>
      </c>
      <c r="T50" s="468">
        <v>1425</v>
      </c>
      <c r="U50" s="500" t="s">
        <v>518</v>
      </c>
      <c r="V50" s="501" t="s">
        <v>493</v>
      </c>
      <c r="W50" s="12">
        <v>4246</v>
      </c>
      <c r="X50" s="274">
        <f>W50/Y50</f>
        <v>2.911729207812157</v>
      </c>
      <c r="Y50" s="626">
        <v>1458.24</v>
      </c>
      <c r="Z50" s="1495" t="s">
        <v>501</v>
      </c>
      <c r="AA50" s="1502"/>
      <c r="AB50" s="1502"/>
      <c r="AC50" s="1502"/>
      <c r="AD50" s="1502"/>
      <c r="AE50" s="1502"/>
      <c r="AF50" s="1502"/>
      <c r="AG50" s="1503"/>
      <c r="AH50" s="1483" t="s">
        <v>501</v>
      </c>
      <c r="AI50" s="1484"/>
      <c r="AJ50" s="1484"/>
      <c r="AK50" s="1484"/>
      <c r="AL50" s="1484"/>
      <c r="AM50" s="1484"/>
      <c r="AN50" s="1484"/>
      <c r="AO50" s="1485"/>
      <c r="AP50" s="549">
        <v>1.026</v>
      </c>
      <c r="AQ50" s="550">
        <v>43</v>
      </c>
      <c r="AR50" s="486">
        <v>678</v>
      </c>
      <c r="AS50" s="486">
        <v>286</v>
      </c>
      <c r="AT50" s="9">
        <f>AS50/AW50</f>
        <v>0.43267776096822996</v>
      </c>
      <c r="AU50" s="486">
        <v>1408</v>
      </c>
      <c r="AV50" s="27">
        <f>AU50/AW50</f>
        <v>2.1301059001512859</v>
      </c>
      <c r="AW50" s="512">
        <v>661</v>
      </c>
      <c r="AX50" s="924">
        <v>8.2769999999999992</v>
      </c>
      <c r="AY50" s="544">
        <v>19.899999999999999</v>
      </c>
      <c r="AZ50" s="925">
        <v>7736</v>
      </c>
      <c r="BA50" s="925">
        <v>5258</v>
      </c>
      <c r="BB50" s="26">
        <f>BA50/BE50</f>
        <v>5.6235294117647054</v>
      </c>
      <c r="BC50" s="926">
        <v>11164</v>
      </c>
      <c r="BD50" s="25">
        <f>BC50/BE50</f>
        <v>11.940106951871657</v>
      </c>
      <c r="BE50" s="927">
        <v>935</v>
      </c>
      <c r="BF50" s="1461" t="s">
        <v>501</v>
      </c>
      <c r="BG50" s="1462"/>
      <c r="BH50" s="1462"/>
      <c r="BI50" s="1462"/>
      <c r="BJ50" s="1462"/>
      <c r="BK50" s="1463"/>
      <c r="BL50" s="1480" t="s">
        <v>501</v>
      </c>
      <c r="BM50" s="1481"/>
      <c r="BN50" s="1481"/>
      <c r="BO50" s="1481"/>
      <c r="BP50" s="1481"/>
      <c r="BQ50" s="1482"/>
      <c r="BR50" s="1483" t="s">
        <v>501</v>
      </c>
      <c r="BS50" s="1484"/>
      <c r="BT50" s="1484"/>
      <c r="BU50" s="1484"/>
      <c r="BV50" s="1484"/>
      <c r="BW50" s="1485"/>
      <c r="BX50" s="1486" t="s">
        <v>501</v>
      </c>
      <c r="BY50" s="1487"/>
      <c r="BZ50" s="1487"/>
      <c r="CA50" s="1487"/>
      <c r="CB50" s="1487"/>
      <c r="CC50" s="1488"/>
    </row>
    <row r="51" spans="1:81" s="936" customFormat="1" ht="14.4" x14ac:dyDescent="0.3">
      <c r="A51" s="935">
        <v>2019</v>
      </c>
      <c r="B51" s="1467" t="s">
        <v>501</v>
      </c>
      <c r="C51" s="1468"/>
      <c r="D51" s="1468"/>
      <c r="E51" s="1468"/>
      <c r="F51" s="1468"/>
      <c r="G51" s="1468"/>
      <c r="H51" s="1468"/>
      <c r="I51" s="1469"/>
      <c r="J51" s="1496" t="s">
        <v>501</v>
      </c>
      <c r="K51" s="1497"/>
      <c r="L51" s="1497"/>
      <c r="M51" s="1497"/>
      <c r="N51" s="1497"/>
      <c r="O51" s="1497"/>
      <c r="P51" s="1497"/>
      <c r="Q51" s="1498"/>
      <c r="R51" s="1499" t="s">
        <v>501</v>
      </c>
      <c r="S51" s="1500"/>
      <c r="T51" s="1500"/>
      <c r="U51" s="1500"/>
      <c r="V51" s="1500"/>
      <c r="W51" s="1500"/>
      <c r="X51" s="1500"/>
      <c r="Y51" s="1501"/>
      <c r="Z51" s="543">
        <v>2.2759999999999998</v>
      </c>
      <c r="AA51" s="544">
        <v>30.8</v>
      </c>
      <c r="AB51" s="545">
        <v>1649</v>
      </c>
      <c r="AC51" s="545">
        <v>738</v>
      </c>
      <c r="AD51" s="546">
        <f t="shared" si="18"/>
        <v>1.0186757215619695</v>
      </c>
      <c r="AE51" s="545">
        <v>2741</v>
      </c>
      <c r="AF51" s="546">
        <f t="shared" si="26"/>
        <v>3.7834554916007561</v>
      </c>
      <c r="AG51" s="630">
        <v>724.47</v>
      </c>
      <c r="AH51" s="534">
        <v>8.9999999999999993E-3</v>
      </c>
      <c r="AI51" s="535">
        <v>102.2</v>
      </c>
      <c r="AJ51" s="536">
        <v>9</v>
      </c>
      <c r="AK51" s="536">
        <v>0</v>
      </c>
      <c r="AL51" s="537">
        <f t="shared" si="27"/>
        <v>0</v>
      </c>
      <c r="AM51" s="536">
        <v>28</v>
      </c>
      <c r="AN51" s="548">
        <f t="shared" si="28"/>
        <v>3.0239866944585445E-2</v>
      </c>
      <c r="AO51" s="618">
        <v>925.93</v>
      </c>
      <c r="AP51" s="1504" t="s">
        <v>501</v>
      </c>
      <c r="AQ51" s="1505"/>
      <c r="AR51" s="1505"/>
      <c r="AS51" s="1505"/>
      <c r="AT51" s="1505"/>
      <c r="AU51" s="1505"/>
      <c r="AV51" s="1505"/>
      <c r="AW51" s="1506"/>
      <c r="AX51" s="1453" t="s">
        <v>501</v>
      </c>
      <c r="AY51" s="1454"/>
      <c r="AZ51" s="1454"/>
      <c r="BA51" s="1454"/>
      <c r="BB51" s="1454"/>
      <c r="BC51" s="1454"/>
      <c r="BD51" s="1454"/>
      <c r="BE51" s="1455"/>
      <c r="BF51" s="995">
        <v>8.0909999999999993</v>
      </c>
      <c r="BG51" s="553">
        <v>22.8</v>
      </c>
      <c r="BH51" s="553">
        <v>5936</v>
      </c>
      <c r="BI51" s="553">
        <v>4588</v>
      </c>
      <c r="BJ51" s="553">
        <v>9921</v>
      </c>
      <c r="BK51" s="557">
        <v>733.73</v>
      </c>
      <c r="BL51" s="554">
        <v>2.081</v>
      </c>
      <c r="BM51" s="555">
        <v>47.1</v>
      </c>
      <c r="BN51" s="556">
        <v>885</v>
      </c>
      <c r="BO51" s="556">
        <v>481</v>
      </c>
      <c r="BP51" s="556">
        <v>2076</v>
      </c>
      <c r="BQ51" s="637">
        <v>425.42</v>
      </c>
      <c r="BR51" s="1483" t="s">
        <v>501</v>
      </c>
      <c r="BS51" s="1484"/>
      <c r="BT51" s="1484"/>
      <c r="BU51" s="1484"/>
      <c r="BV51" s="1484"/>
      <c r="BW51" s="1485"/>
      <c r="BX51" s="1486" t="s">
        <v>501</v>
      </c>
      <c r="BY51" s="1487"/>
      <c r="BZ51" s="1487"/>
      <c r="CA51" s="1487"/>
      <c r="CB51" s="1487"/>
      <c r="CC51" s="1488"/>
    </row>
    <row r="52" spans="1:81" s="936" customFormat="1" ht="14.4" x14ac:dyDescent="0.3">
      <c r="A52" s="935">
        <v>2020</v>
      </c>
      <c r="B52" s="938">
        <v>1.831</v>
      </c>
      <c r="C52" s="535">
        <v>30.8</v>
      </c>
      <c r="D52" s="939">
        <v>1548</v>
      </c>
      <c r="E52" s="939">
        <v>803</v>
      </c>
      <c r="F52" s="18">
        <f t="shared" si="12"/>
        <v>0.95007098911500232</v>
      </c>
      <c r="G52" s="940">
        <v>2269</v>
      </c>
      <c r="H52" s="19">
        <f t="shared" si="29"/>
        <v>2.6845716990061521</v>
      </c>
      <c r="I52" s="619">
        <v>845.2</v>
      </c>
      <c r="J52" s="540">
        <v>0.82499999999999996</v>
      </c>
      <c r="K52" s="494">
        <v>29.6</v>
      </c>
      <c r="L52" s="495">
        <v>985</v>
      </c>
      <c r="M52" s="495">
        <v>296</v>
      </c>
      <c r="N52" s="11">
        <f>M52/Q52</f>
        <v>0.24797057862594141</v>
      </c>
      <c r="O52" s="495">
        <v>1420</v>
      </c>
      <c r="P52" s="20">
        <f t="shared" ref="P52:P54" si="30">O52/Q52</f>
        <v>1.1895885866514757</v>
      </c>
      <c r="Q52" s="622">
        <v>1193.69</v>
      </c>
      <c r="R52" s="542">
        <v>0.41899999999999998</v>
      </c>
      <c r="S52" s="499">
        <v>37.4</v>
      </c>
      <c r="T52" s="500">
        <v>611</v>
      </c>
      <c r="U52" s="500">
        <v>39</v>
      </c>
      <c r="V52" s="274">
        <f>U52/W52</f>
        <v>3.6792452830188678E-2</v>
      </c>
      <c r="W52" s="500">
        <v>1060</v>
      </c>
      <c r="X52" s="274">
        <f>W52/Y52</f>
        <v>0.7269036646916831</v>
      </c>
      <c r="Y52" s="626">
        <v>1458.24</v>
      </c>
      <c r="Z52" s="1495" t="s">
        <v>501</v>
      </c>
      <c r="AA52" s="1502"/>
      <c r="AB52" s="1502"/>
      <c r="AC52" s="1502"/>
      <c r="AD52" s="1502"/>
      <c r="AE52" s="1502"/>
      <c r="AF52" s="1502"/>
      <c r="AG52" s="1503"/>
      <c r="AH52" s="1483" t="s">
        <v>501</v>
      </c>
      <c r="AI52" s="1484"/>
      <c r="AJ52" s="1484"/>
      <c r="AK52" s="1484"/>
      <c r="AL52" s="1484"/>
      <c r="AM52" s="1484"/>
      <c r="AN52" s="1484"/>
      <c r="AO52" s="1485"/>
      <c r="AP52" s="549">
        <v>0.70099999999999996</v>
      </c>
      <c r="AQ52" s="550">
        <v>27.8</v>
      </c>
      <c r="AR52" s="941">
        <v>464</v>
      </c>
      <c r="AS52" s="941">
        <v>233</v>
      </c>
      <c r="AT52" s="9">
        <f>AS52/AW52</f>
        <v>0.35249621785173979</v>
      </c>
      <c r="AU52" s="941">
        <v>731</v>
      </c>
      <c r="AV52" s="27">
        <f>AU52/AW52</f>
        <v>1.1059001512859303</v>
      </c>
      <c r="AW52" s="512">
        <v>661</v>
      </c>
      <c r="AX52" s="924">
        <v>8.4489999999999998</v>
      </c>
      <c r="AY52" s="544">
        <v>18.2</v>
      </c>
      <c r="AZ52" s="925">
        <v>7896</v>
      </c>
      <c r="BA52" s="925">
        <v>5243</v>
      </c>
      <c r="BB52" s="26">
        <f>BA52/BE52</f>
        <v>5.6074866310160427</v>
      </c>
      <c r="BC52" s="926">
        <v>10881</v>
      </c>
      <c r="BD52" s="25">
        <f>BC52/BE52</f>
        <v>11.637433155080213</v>
      </c>
      <c r="BE52" s="927">
        <v>935</v>
      </c>
      <c r="BF52" s="1461" t="s">
        <v>501</v>
      </c>
      <c r="BG52" s="1462"/>
      <c r="BH52" s="1462"/>
      <c r="BI52" s="1462"/>
      <c r="BJ52" s="1462"/>
      <c r="BK52" s="1463"/>
      <c r="BL52" s="1480" t="s">
        <v>501</v>
      </c>
      <c r="BM52" s="1481"/>
      <c r="BN52" s="1481"/>
      <c r="BO52" s="1481"/>
      <c r="BP52" s="1481"/>
      <c r="BQ52" s="1482"/>
      <c r="BR52" s="1483" t="s">
        <v>501</v>
      </c>
      <c r="BS52" s="1484"/>
      <c r="BT52" s="1484"/>
      <c r="BU52" s="1484"/>
      <c r="BV52" s="1484"/>
      <c r="BW52" s="1485"/>
      <c r="BX52" s="1486" t="s">
        <v>501</v>
      </c>
      <c r="BY52" s="1487"/>
      <c r="BZ52" s="1487"/>
      <c r="CA52" s="1487"/>
      <c r="CB52" s="1487"/>
      <c r="CC52" s="1488"/>
    </row>
    <row r="53" spans="1:81" s="944" customFormat="1" ht="14.4" x14ac:dyDescent="0.3">
      <c r="A53" s="935">
        <v>2021</v>
      </c>
      <c r="B53" s="938"/>
      <c r="C53" s="535"/>
      <c r="D53" s="1009"/>
      <c r="E53" s="1009"/>
      <c r="F53" s="1010"/>
      <c r="G53" s="1011"/>
      <c r="H53" s="1012"/>
      <c r="I53" s="619"/>
      <c r="J53" s="540"/>
      <c r="K53" s="494"/>
      <c r="L53" s="1013"/>
      <c r="M53" s="1013"/>
      <c r="N53" s="1014"/>
      <c r="O53" s="1013"/>
      <c r="P53" s="1015"/>
      <c r="Q53" s="622"/>
      <c r="R53" s="542"/>
      <c r="S53" s="499"/>
      <c r="T53" s="1016"/>
      <c r="U53" s="1016"/>
      <c r="V53" s="1017"/>
      <c r="W53" s="1016"/>
      <c r="X53" s="1017"/>
      <c r="Y53" s="626"/>
      <c r="Z53" s="543">
        <v>1.3320000000000001</v>
      </c>
      <c r="AA53" s="544">
        <v>29.8</v>
      </c>
      <c r="AB53" s="545">
        <v>965</v>
      </c>
      <c r="AC53" s="545">
        <v>512</v>
      </c>
      <c r="AD53" s="546">
        <f t="shared" ref="AD53" si="31">AC53/AG53</f>
        <v>0.70672353582619019</v>
      </c>
      <c r="AE53" s="545">
        <v>1352</v>
      </c>
      <c r="AF53" s="546">
        <f t="shared" ref="AF53" si="32">AE53/AG53</f>
        <v>1.8661918367910333</v>
      </c>
      <c r="AG53" s="630">
        <v>724.47</v>
      </c>
      <c r="AH53" s="534">
        <v>5.7000000000000002E-2</v>
      </c>
      <c r="AI53" s="535">
        <v>48.1</v>
      </c>
      <c r="AJ53" s="1018">
        <v>53</v>
      </c>
      <c r="AK53" s="1018">
        <v>0</v>
      </c>
      <c r="AL53" s="537">
        <f t="shared" si="27"/>
        <v>0</v>
      </c>
      <c r="AM53" s="1018">
        <v>102</v>
      </c>
      <c r="AN53" s="548">
        <f t="shared" ref="AN53" si="33">AM53/AO53</f>
        <v>0.1101595152981327</v>
      </c>
      <c r="AO53" s="618">
        <v>925.93</v>
      </c>
      <c r="AP53" s="1504" t="s">
        <v>501</v>
      </c>
      <c r="AQ53" s="1505"/>
      <c r="AR53" s="1505"/>
      <c r="AS53" s="1505"/>
      <c r="AT53" s="1505"/>
      <c r="AU53" s="1505"/>
      <c r="AV53" s="1505"/>
      <c r="AW53" s="1506"/>
      <c r="AX53" s="21"/>
      <c r="AY53" s="544"/>
      <c r="AZ53" s="1019"/>
      <c r="BA53" s="1019"/>
      <c r="BB53" s="1020"/>
      <c r="BC53" s="1021"/>
      <c r="BD53" s="999"/>
      <c r="BE53" s="634"/>
      <c r="BF53" s="1000">
        <v>6.0990000000000002</v>
      </c>
      <c r="BG53" s="553">
        <v>23.9</v>
      </c>
      <c r="BH53" s="553">
        <v>4476</v>
      </c>
      <c r="BI53" s="553">
        <v>3147</v>
      </c>
      <c r="BJ53" s="553">
        <v>7267</v>
      </c>
      <c r="BK53" s="557">
        <v>733.73</v>
      </c>
      <c r="BL53" s="554">
        <v>1.5429999999999999</v>
      </c>
      <c r="BM53" s="555">
        <v>0.94</v>
      </c>
      <c r="BN53" s="556">
        <v>657</v>
      </c>
      <c r="BO53" s="556">
        <v>90</v>
      </c>
      <c r="BP53" s="556">
        <v>1521</v>
      </c>
      <c r="BQ53" s="637">
        <v>425.42</v>
      </c>
      <c r="BR53" s="534">
        <v>2.1000000000000001E-2</v>
      </c>
      <c r="BS53" s="535">
        <v>40</v>
      </c>
      <c r="BT53" s="536">
        <v>9</v>
      </c>
      <c r="BU53" s="536">
        <v>0</v>
      </c>
      <c r="BV53" s="536">
        <v>17</v>
      </c>
      <c r="BW53" s="618">
        <v>441</v>
      </c>
      <c r="BX53" s="552">
        <v>7.2999999999999995E-2</v>
      </c>
      <c r="BY53" s="489">
        <v>74.7</v>
      </c>
      <c r="BZ53" s="490">
        <v>32</v>
      </c>
      <c r="CA53" s="490">
        <v>0</v>
      </c>
      <c r="CB53" s="490">
        <v>69</v>
      </c>
      <c r="CC53" s="557">
        <v>441</v>
      </c>
    </row>
    <row r="54" spans="1:81" s="998" customFormat="1" ht="14.4" x14ac:dyDescent="0.3">
      <c r="A54" s="935">
        <v>2022</v>
      </c>
      <c r="B54" s="938">
        <v>3.552</v>
      </c>
      <c r="C54" s="535">
        <v>16.3</v>
      </c>
      <c r="D54" s="1009">
        <v>3002</v>
      </c>
      <c r="E54" s="1009">
        <v>2066</v>
      </c>
      <c r="F54" s="18">
        <f t="shared" si="12"/>
        <v>2.4449704142011832</v>
      </c>
      <c r="G54" s="1011">
        <v>3948</v>
      </c>
      <c r="H54" s="19">
        <f t="shared" si="29"/>
        <v>4.6721893491124264</v>
      </c>
      <c r="I54" s="619">
        <v>845</v>
      </c>
      <c r="J54" s="540">
        <v>0.54300000000000004</v>
      </c>
      <c r="K54" s="494">
        <v>21.6</v>
      </c>
      <c r="L54" s="1013">
        <v>648</v>
      </c>
      <c r="M54" s="1013">
        <v>355</v>
      </c>
      <c r="N54" s="11">
        <f>M54/Q54</f>
        <v>0.29731993299832493</v>
      </c>
      <c r="O54" s="1013">
        <v>916</v>
      </c>
      <c r="P54" s="20">
        <f t="shared" si="30"/>
        <v>0.76716917922948069</v>
      </c>
      <c r="Q54" s="622">
        <v>1194</v>
      </c>
      <c r="R54" s="542">
        <v>0.10100000000000001</v>
      </c>
      <c r="S54" s="499">
        <v>53.3</v>
      </c>
      <c r="T54" s="1016">
        <v>147</v>
      </c>
      <c r="U54" s="1016">
        <v>21</v>
      </c>
      <c r="V54" s="274">
        <f>U54/W54</f>
        <v>6.7092651757188496E-2</v>
      </c>
      <c r="W54" s="1016">
        <v>313</v>
      </c>
      <c r="X54" s="274">
        <f>W54/Y54</f>
        <v>0.21467764060356653</v>
      </c>
      <c r="Y54" s="626">
        <v>1458</v>
      </c>
      <c r="Z54" s="543"/>
      <c r="AA54" s="1024"/>
      <c r="AB54" s="1025"/>
      <c r="AC54" s="1025"/>
      <c r="AD54" s="1026"/>
      <c r="AE54" s="1025"/>
      <c r="AF54" s="1026"/>
      <c r="AG54" s="630"/>
      <c r="AH54" s="534"/>
      <c r="AI54" s="1027"/>
      <c r="AJ54" s="1018"/>
      <c r="AK54" s="1018"/>
      <c r="AL54" s="1028"/>
      <c r="AM54" s="1018"/>
      <c r="AN54" s="1003"/>
      <c r="AO54" s="618"/>
      <c r="AP54" s="23">
        <v>1.073</v>
      </c>
      <c r="AQ54" s="1032">
        <v>30.7</v>
      </c>
      <c r="AR54" s="8">
        <v>709</v>
      </c>
      <c r="AS54" s="8">
        <v>301</v>
      </c>
      <c r="AT54" s="9">
        <f>AS54/AW54</f>
        <v>0.45537065052950076</v>
      </c>
      <c r="AU54" s="8">
        <v>1172</v>
      </c>
      <c r="AV54" s="27">
        <f>AU54/AW54</f>
        <v>1.773071104387292</v>
      </c>
      <c r="AW54" s="1033">
        <v>661</v>
      </c>
      <c r="AX54" s="21">
        <v>8.0679999999999996</v>
      </c>
      <c r="AY54" s="544">
        <v>21.3</v>
      </c>
      <c r="AZ54" s="1019">
        <v>7540</v>
      </c>
      <c r="BA54" s="1019">
        <v>4796</v>
      </c>
      <c r="BB54" s="26">
        <f>BA54/BE54</f>
        <v>5.1294117647058828</v>
      </c>
      <c r="BC54" s="1021">
        <v>11132</v>
      </c>
      <c r="BD54" s="25">
        <f>BC54/BE54</f>
        <v>11.905882352941177</v>
      </c>
      <c r="BE54" s="634">
        <v>935</v>
      </c>
      <c r="BF54" s="1000"/>
      <c r="BG54" s="553"/>
      <c r="BH54" s="1001"/>
      <c r="BI54" s="1001"/>
      <c r="BJ54" s="1001"/>
      <c r="BK54" s="557"/>
      <c r="BL54" s="554"/>
      <c r="BM54" s="555"/>
      <c r="BN54" s="1029"/>
      <c r="BO54" s="1029"/>
      <c r="BP54" s="1029"/>
      <c r="BQ54" s="637"/>
      <c r="BR54" s="534"/>
      <c r="BS54" s="1027"/>
      <c r="BT54" s="1018"/>
      <c r="BU54" s="1018"/>
      <c r="BV54" s="1018"/>
      <c r="BW54" s="618"/>
      <c r="BX54" s="552"/>
      <c r="BY54" s="1030"/>
      <c r="BZ54" s="1031"/>
      <c r="CA54" s="1031"/>
      <c r="CB54" s="1031"/>
      <c r="CC54" s="557"/>
    </row>
    <row r="55" spans="1:81" s="596" customFormat="1" ht="17.25" customHeight="1" thickBot="1" x14ac:dyDescent="0.35">
      <c r="A55" s="599" t="s">
        <v>502</v>
      </c>
      <c r="B55" s="600">
        <f>AVERAGE(B47:B48,B50,B52,B54)</f>
        <v>2.3391999999999999</v>
      </c>
      <c r="C55" s="601"/>
      <c r="D55" s="930">
        <f>AVERAGE(D47:D48,D50,D52,D54)</f>
        <v>1977.2</v>
      </c>
      <c r="E55" s="930">
        <f t="shared" ref="E55:H55" si="34">AVERAGE(E46:E48,E50,E52)</f>
        <v>699.6</v>
      </c>
      <c r="F55" s="600">
        <f t="shared" si="34"/>
        <v>0.8277330809275909</v>
      </c>
      <c r="G55" s="930">
        <f t="shared" si="34"/>
        <v>2744.8</v>
      </c>
      <c r="H55" s="600">
        <f t="shared" si="34"/>
        <v>3.2475153809749173</v>
      </c>
      <c r="I55" s="937"/>
      <c r="J55" s="600">
        <f>AVERAGE(J47:J48,J50,J52,J54)</f>
        <v>1.2004000000000001</v>
      </c>
      <c r="K55" s="601"/>
      <c r="L55" s="930">
        <f>AVERAGE(L47:L48,L50,L52,L54)</f>
        <v>1432.6</v>
      </c>
      <c r="M55" s="930">
        <f>AVERAGE(M47:M48,M50,M52,M54)</f>
        <v>591.79999999999995</v>
      </c>
      <c r="N55" s="600">
        <f>AVERAGE(N47:N48,N50,N52,N54)</f>
        <v>0.49575816683071317</v>
      </c>
      <c r="O55" s="930">
        <f>AVERAGE(O47:O48,O50,O52,O54)</f>
        <v>2444.1999999999998</v>
      </c>
      <c r="P55" s="600">
        <f>AVERAGE(P47:P48,P50,P52,P54)</f>
        <v>2.0475604516339145</v>
      </c>
      <c r="Q55" s="623"/>
      <c r="R55" s="600">
        <f>AVERAGE(R47:R48,R50,R52,R54)</f>
        <v>0.36199999999999999</v>
      </c>
      <c r="S55" s="601"/>
      <c r="T55" s="930">
        <f>AVERAGE(T47:T48,T50,T52,T54)</f>
        <v>527.79999999999995</v>
      </c>
      <c r="U55" s="930">
        <f>AVERAGE(U47:U48,U50,U52,U54)</f>
        <v>55.333333333333336</v>
      </c>
      <c r="V55" s="600">
        <f>AVERAGE(V47:V48,V50,V52,V54)</f>
        <v>9.1525845383124652E-2</v>
      </c>
      <c r="W55" s="930">
        <f>AVERAGE(W47:W48,W50,W52,W54)</f>
        <v>1301.4000000000001</v>
      </c>
      <c r="X55" s="600">
        <f>AVERAGE(X47:X48,X50,X52,X54)</f>
        <v>0.89245275436605009</v>
      </c>
      <c r="Y55" s="627"/>
      <c r="Z55" s="600">
        <f>AVERAGE(Z46:Z47,Z49,Z51,Z53)</f>
        <v>2.2926000000000002</v>
      </c>
      <c r="AA55" s="600"/>
      <c r="AB55" s="930">
        <f t="shared" ref="AB55:AF55" si="35">AVERAGE(AB46:AB47,AB49,AB51,AB53)</f>
        <v>1661</v>
      </c>
      <c r="AC55" s="930">
        <f t="shared" si="35"/>
        <v>834.2</v>
      </c>
      <c r="AD55" s="600">
        <f t="shared" si="35"/>
        <v>1.151462448410562</v>
      </c>
      <c r="AE55" s="930">
        <f t="shared" si="35"/>
        <v>2645.6</v>
      </c>
      <c r="AF55" s="600">
        <f t="shared" si="35"/>
        <v>3.6517730202768917</v>
      </c>
      <c r="AG55" s="937"/>
      <c r="AH55" s="600">
        <f>AVERAGE(AH46:AH47,AH49,AH51,AH53)</f>
        <v>0.32599999999999996</v>
      </c>
      <c r="AI55" s="600"/>
      <c r="AJ55" s="930">
        <f t="shared" ref="AJ55" si="36">AVERAGE(AJ46:AJ47,AJ49,AJ51,AJ53)</f>
        <v>302</v>
      </c>
      <c r="AK55" s="930">
        <f t="shared" ref="AK55" si="37">AVERAGE(AK46:AK47,AK49,AK51,AK53)</f>
        <v>50</v>
      </c>
      <c r="AL55" s="600">
        <f t="shared" ref="AL55" si="38">AVERAGE(AL46:AL47,AL49,AL51,AL53)</f>
        <v>5.399976240104544E-2</v>
      </c>
      <c r="AM55" s="930">
        <f t="shared" ref="AM55" si="39">AVERAGE(AM46:AM47,AM49,AM51,AM53)</f>
        <v>945.75</v>
      </c>
      <c r="AN55" s="600">
        <f t="shared" ref="AN55" si="40">AVERAGE(AN46:AN47,AN49,AN51,AN53)</f>
        <v>1.0214055058157745</v>
      </c>
      <c r="AO55" s="937"/>
      <c r="AP55" s="600">
        <f>AVERAGE(AP46,AP48,AP50,AP52,AP54)</f>
        <v>1.0277999999999998</v>
      </c>
      <c r="AQ55" s="601"/>
      <c r="AR55" s="1022">
        <f>AVERAGE(AR46,AR48,AR50,AR52,AP54)</f>
        <v>537.81459999999993</v>
      </c>
      <c r="AS55" s="1022">
        <f>AVERAGE(AS46,AS48,AS50,AS52,AQ54)</f>
        <v>236.34</v>
      </c>
      <c r="AT55" s="600">
        <f>AVERAGE(AT46,AT48,AT50,AT52,AT54)</f>
        <v>0.43933434190620274</v>
      </c>
      <c r="AU55" s="1022">
        <f>AVERAGE(AU46,AU48,AU50,AU52,AS54)</f>
        <v>994.2</v>
      </c>
      <c r="AV55" s="600">
        <f>AVERAGE(AV46,AV48,AV50,AV52,AV54)</f>
        <v>1.7676248108925872</v>
      </c>
      <c r="AW55" s="937"/>
      <c r="AX55" s="600">
        <f>AVERAGE(AX46,AX48,AX50,AX52,AX54)</f>
        <v>7.9779999999999989</v>
      </c>
      <c r="AY55" s="601"/>
      <c r="AZ55" s="1022">
        <f>AVERAGE(AZ46,AZ48,AZ50,AZ52,AX54)</f>
        <v>5949.6135999999997</v>
      </c>
      <c r="BA55" s="1022">
        <f>AVERAGE(BA46,BA48,BA50,BA52,AY54)</f>
        <v>4287.66</v>
      </c>
      <c r="BB55" s="600">
        <f>AVERAGE(BB46,BB48,BB50,BB52,BB54)</f>
        <v>5.6070588235294121</v>
      </c>
      <c r="BC55" s="1022">
        <f>AVERAGE(BC46,BC48,BC50,BC52,BA54)</f>
        <v>9055.2000000000007</v>
      </c>
      <c r="BD55" s="600">
        <f>AVERAGE(BD46,BD48,BD50,BD52,BD54)</f>
        <v>11.040000000000001</v>
      </c>
      <c r="BE55" s="937"/>
      <c r="BF55" s="1023">
        <f>AVERAGE(BF45,BF47,BF49,BF51,BF53)</f>
        <v>8.1312000000000015</v>
      </c>
      <c r="BG55" s="601"/>
      <c r="BH55" s="930">
        <f>AVERAGE(BH45,BH47,BH49,BH51,BH53)</f>
        <v>5966.4</v>
      </c>
      <c r="BI55" s="930">
        <f t="shared" ref="BI55:BJ55" si="41">AVERAGE(BI45,BI47,BI49,BI51,BI53)</f>
        <v>4451.3999999999996</v>
      </c>
      <c r="BJ55" s="930">
        <f t="shared" si="41"/>
        <v>9057.2000000000007</v>
      </c>
      <c r="BK55" s="937"/>
      <c r="BL55" s="1023">
        <f>AVERAGE(BL45,BL47,BL49,BL51,BL53)</f>
        <v>2.5657999999999999</v>
      </c>
      <c r="BM55" s="601"/>
      <c r="BN55" s="930">
        <f>AVERAGE(BN45,BN47,BN49,BN51,BN53)</f>
        <v>1091.8</v>
      </c>
      <c r="BO55" s="930">
        <f t="shared" ref="BO55" si="42">AVERAGE(BO45,BO47,BO49,BO51,BO53)</f>
        <v>504.4</v>
      </c>
      <c r="BP55" s="930">
        <f t="shared" ref="BP55" si="43">AVERAGE(BP45,BP47,BP49,BP51,BP53)</f>
        <v>2343.4</v>
      </c>
      <c r="BQ55" s="937"/>
      <c r="BR55" s="600">
        <f>AVERAGE(BR40,BR43,BR45,BR49,BR53)</f>
        <v>0.25139999999999996</v>
      </c>
      <c r="BS55" s="600"/>
      <c r="BT55" s="600">
        <f t="shared" ref="BT55:BV55" si="44">AVERAGE(BT40,BT43,BT45,BT49,BT53)</f>
        <v>111</v>
      </c>
      <c r="BU55" s="600">
        <f t="shared" si="44"/>
        <v>18.25</v>
      </c>
      <c r="BV55" s="600">
        <f t="shared" si="44"/>
        <v>242.2</v>
      </c>
      <c r="BW55" s="937"/>
      <c r="BX55" s="600">
        <f>AVERAGE(BX40,BX43,BX45,BX49,BX53)</f>
        <v>0.28700000000000003</v>
      </c>
      <c r="BY55" s="600"/>
      <c r="BZ55" s="930">
        <f t="shared" ref="BZ55:CB55" si="45">AVERAGE(BZ40,BZ43,BZ45,BZ49,BZ53)</f>
        <v>158.25</v>
      </c>
      <c r="CA55" s="930">
        <f t="shared" si="45"/>
        <v>160.5</v>
      </c>
      <c r="CB55" s="930">
        <f t="shared" si="45"/>
        <v>352.75</v>
      </c>
      <c r="CC55" s="937"/>
    </row>
    <row r="56" spans="1:81" x14ac:dyDescent="0.25">
      <c r="U56" s="624"/>
      <c r="V56" s="624"/>
      <c r="W56" s="624"/>
      <c r="X56" s="624"/>
      <c r="AH56" s="513"/>
      <c r="AI56" s="513"/>
      <c r="AJ56" s="513"/>
      <c r="AK56" s="513"/>
      <c r="AL56" s="513"/>
      <c r="AM56" s="513"/>
      <c r="AN56" s="513"/>
      <c r="AO56" s="513"/>
    </row>
    <row r="57" spans="1:81" x14ac:dyDescent="0.25">
      <c r="A57" s="561"/>
      <c r="D57" s="562"/>
      <c r="E57" s="562"/>
      <c r="F57" s="562"/>
      <c r="G57" s="562"/>
      <c r="H57" s="562"/>
      <c r="I57" s="562"/>
      <c r="K57" s="562"/>
      <c r="L57" s="562"/>
      <c r="M57" s="562"/>
      <c r="N57" s="562"/>
      <c r="O57" s="562"/>
      <c r="P57" s="562"/>
      <c r="Q57" s="562"/>
      <c r="R57" s="562"/>
      <c r="T57" s="562"/>
      <c r="U57" s="442"/>
      <c r="V57" s="442"/>
      <c r="W57" s="442"/>
      <c r="X57" s="442"/>
      <c r="AH57" s="513"/>
      <c r="AI57" s="513"/>
      <c r="AJ57" s="513"/>
      <c r="AK57" s="513"/>
      <c r="AL57" s="513"/>
      <c r="AM57" s="513"/>
      <c r="AN57" s="513"/>
      <c r="AO57" s="513"/>
    </row>
    <row r="58" spans="1:81" x14ac:dyDescent="0.25">
      <c r="D58" s="563"/>
      <c r="E58" s="562"/>
      <c r="F58" s="562"/>
      <c r="G58" s="563"/>
      <c r="H58" s="563"/>
      <c r="I58" s="562"/>
      <c r="K58" s="563"/>
      <c r="L58" s="562"/>
      <c r="M58" s="563"/>
      <c r="N58" s="563"/>
      <c r="O58" s="563"/>
      <c r="P58" s="563"/>
      <c r="Q58" s="563"/>
      <c r="R58" s="562"/>
      <c r="T58" s="563"/>
      <c r="U58" s="442"/>
      <c r="V58" s="442"/>
      <c r="W58" s="442"/>
      <c r="X58" s="442"/>
    </row>
    <row r="59" spans="1:81" x14ac:dyDescent="0.25">
      <c r="D59" s="562"/>
      <c r="E59" s="562"/>
      <c r="F59" s="562"/>
      <c r="G59" s="562"/>
      <c r="H59" s="562"/>
      <c r="I59" s="562"/>
      <c r="K59" s="562"/>
      <c r="L59" s="562"/>
      <c r="M59" s="562"/>
      <c r="N59" s="562"/>
      <c r="O59" s="562"/>
      <c r="P59" s="562"/>
      <c r="Q59" s="562"/>
      <c r="R59" s="562"/>
      <c r="T59" s="562"/>
      <c r="U59" s="442"/>
      <c r="V59" s="442"/>
      <c r="W59" s="442"/>
      <c r="X59" s="442"/>
    </row>
    <row r="60" spans="1:81" x14ac:dyDescent="0.25">
      <c r="D60" s="562"/>
      <c r="E60" s="562"/>
      <c r="F60" s="562"/>
      <c r="G60" s="562"/>
      <c r="H60" s="562"/>
      <c r="I60" s="562"/>
      <c r="K60" s="562"/>
      <c r="L60" s="562"/>
      <c r="M60" s="562"/>
      <c r="N60" s="562"/>
      <c r="O60" s="562"/>
      <c r="P60" s="562"/>
      <c r="Q60" s="562"/>
      <c r="R60" s="562"/>
      <c r="T60" s="562"/>
      <c r="U60" s="442"/>
      <c r="V60" s="442"/>
      <c r="W60" s="442"/>
      <c r="X60" s="442"/>
    </row>
    <row r="61" spans="1:81" x14ac:dyDescent="0.25">
      <c r="C61" s="564"/>
      <c r="D61" s="564"/>
      <c r="E61" s="564"/>
      <c r="G61" s="563"/>
      <c r="H61" s="563"/>
      <c r="K61" s="563"/>
      <c r="M61" s="563"/>
      <c r="N61" s="563"/>
      <c r="O61" s="563"/>
      <c r="P61" s="563"/>
      <c r="Q61" s="563"/>
      <c r="T61" s="563"/>
      <c r="V61" s="563"/>
      <c r="W61" s="563"/>
    </row>
    <row r="63" spans="1:81" x14ac:dyDescent="0.25">
      <c r="D63" s="563"/>
      <c r="G63" s="563"/>
      <c r="H63" s="563"/>
    </row>
  </sheetData>
  <sheetProtection formatCells="0" formatColumns="0" formatRows="0" insertColumns="0" insertRows="0" insertHyperlinks="0" deleteColumns="0" deleteRows="0" sort="0" autoFilter="0" pivotTables="0"/>
  <mergeCells count="57">
    <mergeCell ref="Z52:AG52"/>
    <mergeCell ref="AH52:AO52"/>
    <mergeCell ref="AP53:AW53"/>
    <mergeCell ref="J26:T26"/>
    <mergeCell ref="AF26:AP26"/>
    <mergeCell ref="AP51:AW51"/>
    <mergeCell ref="AP47:AW47"/>
    <mergeCell ref="Z50:AG50"/>
    <mergeCell ref="AH50:AO50"/>
    <mergeCell ref="B51:I51"/>
    <mergeCell ref="J49:Q49"/>
    <mergeCell ref="J51:Q51"/>
    <mergeCell ref="R49:Y49"/>
    <mergeCell ref="R51:Y51"/>
    <mergeCell ref="B49:I49"/>
    <mergeCell ref="AX51:BE51"/>
    <mergeCell ref="BR48:BW48"/>
    <mergeCell ref="BX48:CC48"/>
    <mergeCell ref="BR47:BW47"/>
    <mergeCell ref="BX47:CC47"/>
    <mergeCell ref="BF48:BK48"/>
    <mergeCell ref="BL48:BQ48"/>
    <mergeCell ref="AX47:BE47"/>
    <mergeCell ref="BR50:BW50"/>
    <mergeCell ref="BX50:CC50"/>
    <mergeCell ref="BF50:BK50"/>
    <mergeCell ref="BL50:BQ50"/>
    <mergeCell ref="BF52:BK52"/>
    <mergeCell ref="BL52:BQ52"/>
    <mergeCell ref="BR52:BW52"/>
    <mergeCell ref="BX52:CC52"/>
    <mergeCell ref="BR51:BW51"/>
    <mergeCell ref="BX51:CC51"/>
    <mergeCell ref="BR4:BV4"/>
    <mergeCell ref="AF20:AP20"/>
    <mergeCell ref="AQ19:AY19"/>
    <mergeCell ref="AZ19:BH19"/>
    <mergeCell ref="AZ20:BH20"/>
    <mergeCell ref="J24:T24"/>
    <mergeCell ref="Z48:AG48"/>
    <mergeCell ref="AH48:AO48"/>
    <mergeCell ref="AP49:AW49"/>
    <mergeCell ref="AF22:AP22"/>
    <mergeCell ref="U23:AE23"/>
    <mergeCell ref="J22:T22"/>
    <mergeCell ref="AQ23:AY23"/>
    <mergeCell ref="AF24:AP24"/>
    <mergeCell ref="A2:B2"/>
    <mergeCell ref="U21:AE21"/>
    <mergeCell ref="AQ21:AY21"/>
    <mergeCell ref="AZ21:BH21"/>
    <mergeCell ref="B4:G4"/>
    <mergeCell ref="AZ23:BH23"/>
    <mergeCell ref="U25:AE25"/>
    <mergeCell ref="AQ25:AY25"/>
    <mergeCell ref="AZ25:BH25"/>
    <mergeCell ref="AX49:BE49"/>
  </mergeCells>
  <pageMargins left="0.7" right="0.7" top="0.75" bottom="0.75" header="0.3" footer="0.3"/>
  <pageSetup scale="75" orientation="landscape" r:id="rId1"/>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tabColor rgb="FFFF0000"/>
  </sheetPr>
  <dimension ref="A2:CG46"/>
  <sheetViews>
    <sheetView zoomScale="80" zoomScaleNormal="80" workbookViewId="0"/>
  </sheetViews>
  <sheetFormatPr defaultColWidth="9.21875" defaultRowHeight="14.4" x14ac:dyDescent="0.3"/>
  <cols>
    <col min="1" max="1" width="11.5546875" style="47" bestFit="1" customWidth="1"/>
    <col min="2" max="2" width="18.44140625" style="47" bestFit="1" customWidth="1"/>
    <col min="3" max="5" width="11.5546875" style="47" bestFit="1" customWidth="1"/>
    <col min="6" max="6" width="10.5546875" style="47" bestFit="1" customWidth="1"/>
    <col min="7" max="7" width="14" style="47" bestFit="1" customWidth="1"/>
    <col min="8" max="8" width="19.44140625" style="47" bestFit="1" customWidth="1"/>
    <col min="9" max="9" width="11.5546875" style="47" bestFit="1" customWidth="1"/>
    <col min="10" max="11" width="12.44140625" style="47" bestFit="1" customWidth="1"/>
    <col min="12" max="12" width="14" style="47" bestFit="1" customWidth="1"/>
    <col min="13" max="13" width="9.21875" style="47"/>
    <col min="14" max="14" width="19.44140625" style="47" bestFit="1" customWidth="1"/>
    <col min="15" max="15" width="10" style="47" bestFit="1" customWidth="1"/>
    <col min="16" max="16" width="12.21875" style="47" bestFit="1" customWidth="1"/>
    <col min="17" max="17" width="13.5546875" style="47" bestFit="1" customWidth="1"/>
    <col min="18" max="18" width="10.5546875" style="47" bestFit="1" customWidth="1"/>
    <col min="19" max="19" width="11.5546875" style="47" bestFit="1" customWidth="1"/>
    <col min="20" max="20" width="24.77734375" style="47" bestFit="1" customWidth="1"/>
    <col min="21" max="21" width="10.77734375" style="47" bestFit="1" customWidth="1"/>
    <col min="22" max="22" width="14.21875" style="47" bestFit="1" customWidth="1"/>
    <col min="23" max="23" width="10.77734375" style="47" bestFit="1" customWidth="1"/>
    <col min="24" max="24" width="12.44140625" style="47" bestFit="1" customWidth="1"/>
    <col min="25" max="25" width="13.5546875" style="47" bestFit="1" customWidth="1"/>
    <col min="26" max="26" width="19.44140625" style="47" bestFit="1" customWidth="1"/>
    <col min="27" max="27" width="14.5546875" style="47" bestFit="1" customWidth="1"/>
    <col min="28" max="30" width="12.44140625" style="47" bestFit="1" customWidth="1"/>
    <col min="31" max="31" width="11.21875" style="47" bestFit="1" customWidth="1"/>
    <col min="32" max="32" width="19.44140625" style="47" bestFit="1" customWidth="1"/>
    <col min="33" max="35" width="11.44140625" style="47" bestFit="1" customWidth="1"/>
    <col min="36" max="36" width="11.21875" style="47" bestFit="1" customWidth="1"/>
    <col min="37" max="37" width="14.5546875" style="47" bestFit="1" customWidth="1"/>
    <col min="38" max="38" width="19.44140625" style="47" bestFit="1" customWidth="1"/>
    <col min="39" max="40" width="11.44140625" style="47" bestFit="1" customWidth="1"/>
    <col min="41" max="41" width="11.21875" style="47" bestFit="1" customWidth="1"/>
    <col min="42" max="42" width="14.5546875" style="47" bestFit="1" customWidth="1"/>
    <col min="43" max="43" width="9.21875" style="47"/>
    <col min="44" max="44" width="14.5546875" style="47" bestFit="1" customWidth="1"/>
    <col min="45" max="45" width="10.77734375" style="47" bestFit="1" customWidth="1"/>
    <col min="46" max="46" width="12.21875" style="47" bestFit="1" customWidth="1"/>
    <col min="47" max="47" width="14.5546875" style="47" bestFit="1" customWidth="1"/>
    <col min="48" max="48" width="11.21875" style="47" bestFit="1" customWidth="1"/>
    <col min="49" max="49" width="14.5546875" style="47" bestFit="1" customWidth="1"/>
    <col min="50" max="50" width="10.77734375" style="47" bestFit="1" customWidth="1"/>
    <col min="51" max="51" width="12.21875" style="47" bestFit="1" customWidth="1"/>
    <col min="52" max="52" width="14.5546875" style="47" bestFit="1" customWidth="1"/>
    <col min="53" max="53" width="11.21875" style="47" bestFit="1" customWidth="1"/>
    <col min="54" max="54" width="12.21875" style="47" bestFit="1" customWidth="1"/>
    <col min="55" max="55" width="10.77734375" style="47" bestFit="1" customWidth="1"/>
    <col min="56" max="56" width="21.21875" style="47" customWidth="1"/>
    <col min="57" max="57" width="14.5546875" style="47" bestFit="1" customWidth="1"/>
    <col min="58" max="59" width="12.21875" style="47" bestFit="1" customWidth="1"/>
    <col min="60" max="60" width="11.21875" style="47" bestFit="1" customWidth="1"/>
    <col min="61" max="62" width="14.5546875" style="47" bestFit="1" customWidth="1"/>
    <col min="63" max="64" width="12.21875" style="47" bestFit="1" customWidth="1"/>
    <col min="65" max="66" width="11.21875" style="47" bestFit="1" customWidth="1"/>
    <col min="67" max="67" width="14.5546875" style="47" bestFit="1" customWidth="1"/>
    <col min="68" max="68" width="24.77734375" style="47" bestFit="1" customWidth="1"/>
    <col min="69" max="69" width="12.21875" style="47" bestFit="1" customWidth="1"/>
    <col min="70" max="70" width="11.77734375" style="47" bestFit="1" customWidth="1"/>
    <col min="71" max="71" width="11.21875" style="47" bestFit="1" customWidth="1"/>
    <col min="72" max="73" width="10.77734375" style="47" bestFit="1" customWidth="1"/>
    <col min="74" max="74" width="14.21875" style="47" bestFit="1" customWidth="1"/>
    <col min="75" max="75" width="9.21875" style="47"/>
    <col min="76" max="76" width="11.77734375" style="47" bestFit="1" customWidth="1"/>
    <col min="77" max="77" width="10.21875" style="47" bestFit="1" customWidth="1"/>
    <col min="78" max="78" width="10.77734375" style="47" bestFit="1" customWidth="1"/>
    <col min="79" max="80" width="13.21875" style="47" bestFit="1" customWidth="1"/>
    <col min="81" max="82" width="10.77734375" style="47" bestFit="1" customWidth="1"/>
    <col min="83" max="84" width="10" style="47" bestFit="1" customWidth="1"/>
    <col min="85" max="16384" width="9.21875" style="47"/>
  </cols>
  <sheetData>
    <row r="2" spans="1:48" x14ac:dyDescent="0.3">
      <c r="A2" s="159" t="s">
        <v>522</v>
      </c>
      <c r="B2" s="159" t="s">
        <v>523</v>
      </c>
      <c r="C2" s="159" t="s">
        <v>524</v>
      </c>
      <c r="D2" s="159" t="s">
        <v>525</v>
      </c>
      <c r="E2" s="159" t="s">
        <v>526</v>
      </c>
      <c r="F2" s="986"/>
      <c r="G2" s="986"/>
      <c r="H2" s="986"/>
      <c r="I2" s="986"/>
      <c r="J2" s="986"/>
      <c r="K2" s="986"/>
      <c r="L2" s="986"/>
      <c r="M2" s="986"/>
      <c r="N2" s="986"/>
      <c r="O2" s="986"/>
      <c r="P2" s="986"/>
      <c r="Q2" s="986"/>
      <c r="R2" s="986"/>
      <c r="S2" s="986"/>
      <c r="T2" s="986"/>
      <c r="U2" s="986"/>
      <c r="V2" s="986"/>
      <c r="W2" s="986"/>
      <c r="X2" s="986"/>
      <c r="Y2" s="986"/>
      <c r="Z2" s="986"/>
      <c r="AA2" s="986"/>
      <c r="AB2" s="986"/>
      <c r="AC2" s="986"/>
      <c r="AD2" s="986"/>
      <c r="AE2" s="986"/>
      <c r="AF2" s="986"/>
      <c r="AG2" s="986"/>
      <c r="AH2" s="986"/>
      <c r="AI2" s="986"/>
      <c r="AJ2" s="986"/>
      <c r="AK2" s="986"/>
      <c r="AL2" s="986"/>
      <c r="AM2" s="986"/>
      <c r="AN2" s="986"/>
      <c r="AO2" s="986"/>
      <c r="AP2" s="986"/>
      <c r="AQ2" s="986"/>
      <c r="AR2" s="986"/>
      <c r="AS2" s="986"/>
      <c r="AT2" s="986"/>
      <c r="AU2" s="986"/>
      <c r="AV2" s="986"/>
    </row>
    <row r="3" spans="1:48" x14ac:dyDescent="0.3">
      <c r="A3" s="160">
        <v>1</v>
      </c>
      <c r="B3" s="161">
        <v>3500.5</v>
      </c>
      <c r="C3" s="161">
        <v>845.3</v>
      </c>
      <c r="D3" s="161">
        <v>1196.4000000000001</v>
      </c>
      <c r="E3" s="161">
        <v>1458.8</v>
      </c>
      <c r="F3" s="986"/>
      <c r="G3" s="986"/>
      <c r="H3" s="986"/>
      <c r="I3" s="986"/>
      <c r="J3" s="986"/>
      <c r="K3" s="986"/>
      <c r="L3" s="986"/>
      <c r="M3" s="986"/>
      <c r="N3" s="986"/>
      <c r="O3" s="986"/>
      <c r="P3" s="986"/>
      <c r="Q3" s="986"/>
      <c r="R3" s="986"/>
      <c r="S3" s="986"/>
      <c r="T3" s="986"/>
      <c r="U3" s="986"/>
      <c r="V3" s="986"/>
      <c r="W3" s="986"/>
      <c r="X3" s="986"/>
      <c r="Y3" s="986"/>
      <c r="Z3" s="986"/>
      <c r="AA3" s="986"/>
      <c r="AB3" s="986"/>
      <c r="AC3" s="986"/>
      <c r="AD3" s="986"/>
      <c r="AE3" s="986"/>
      <c r="AF3" s="986"/>
      <c r="AG3" s="986"/>
      <c r="AH3" s="986"/>
      <c r="AI3" s="986"/>
      <c r="AJ3" s="986"/>
      <c r="AK3" s="986"/>
      <c r="AL3" s="986"/>
      <c r="AM3" s="986"/>
      <c r="AN3" s="986"/>
      <c r="AO3" s="986"/>
      <c r="AP3" s="986"/>
      <c r="AQ3" s="986"/>
      <c r="AR3" s="986"/>
      <c r="AS3" s="986"/>
      <c r="AT3" s="986"/>
      <c r="AU3" s="986"/>
      <c r="AV3" s="986"/>
    </row>
    <row r="4" spans="1:48" x14ac:dyDescent="0.3">
      <c r="A4" s="160">
        <v>2</v>
      </c>
      <c r="B4" s="161">
        <v>1650.4</v>
      </c>
      <c r="C4" s="161">
        <v>724.5</v>
      </c>
      <c r="D4" s="161">
        <v>925.9</v>
      </c>
      <c r="E4" s="162"/>
      <c r="F4" s="986"/>
      <c r="G4" s="986"/>
      <c r="H4" s="986"/>
      <c r="I4" s="986"/>
      <c r="J4" s="986"/>
      <c r="K4" s="986"/>
      <c r="L4" s="986"/>
      <c r="M4" s="986"/>
      <c r="N4" s="986"/>
      <c r="O4" s="986"/>
      <c r="P4" s="986"/>
      <c r="Q4" s="986"/>
      <c r="R4" s="986"/>
      <c r="S4" s="986"/>
      <c r="T4" s="986"/>
      <c r="U4" s="986"/>
      <c r="V4" s="986"/>
      <c r="W4" s="986"/>
      <c r="X4" s="986"/>
      <c r="Y4" s="986"/>
      <c r="Z4" s="986"/>
      <c r="AA4" s="986"/>
      <c r="AB4" s="986"/>
      <c r="AC4" s="986"/>
      <c r="AD4" s="986"/>
      <c r="AE4" s="986"/>
      <c r="AF4" s="986"/>
      <c r="AG4" s="986"/>
      <c r="AH4" s="986"/>
      <c r="AI4" s="986"/>
      <c r="AJ4" s="986"/>
      <c r="AK4" s="986"/>
      <c r="AL4" s="986"/>
      <c r="AM4" s="986"/>
      <c r="AN4" s="986"/>
      <c r="AO4" s="986"/>
      <c r="AP4" s="986"/>
      <c r="AQ4" s="986"/>
      <c r="AR4" s="986"/>
      <c r="AS4" s="986"/>
      <c r="AT4" s="986"/>
      <c r="AU4" s="986"/>
      <c r="AV4" s="986"/>
    </row>
    <row r="5" spans="1:48" x14ac:dyDescent="0.3">
      <c r="A5" s="160">
        <v>3</v>
      </c>
      <c r="B5" s="161">
        <v>1595.4</v>
      </c>
      <c r="C5" s="161">
        <v>660.9</v>
      </c>
      <c r="D5" s="161">
        <v>934.5</v>
      </c>
      <c r="E5" s="162"/>
      <c r="F5" s="986"/>
      <c r="G5" s="986"/>
      <c r="H5" s="986"/>
      <c r="I5" s="986"/>
      <c r="J5" s="986"/>
      <c r="K5" s="986"/>
      <c r="L5" s="986"/>
      <c r="M5" s="986"/>
      <c r="N5" s="986"/>
      <c r="O5" s="986"/>
      <c r="P5" s="986"/>
      <c r="Q5" s="986"/>
      <c r="R5" s="986"/>
      <c r="S5" s="986"/>
      <c r="T5" s="986"/>
      <c r="U5" s="986"/>
      <c r="V5" s="986"/>
      <c r="W5" s="986"/>
      <c r="X5" s="986"/>
      <c r="Y5" s="986"/>
      <c r="Z5" s="986"/>
      <c r="AA5" s="986"/>
      <c r="AB5" s="986"/>
      <c r="AC5" s="986"/>
      <c r="AD5" s="986"/>
      <c r="AE5" s="986"/>
      <c r="AF5" s="986"/>
      <c r="AG5" s="986"/>
      <c r="AH5" s="986"/>
      <c r="AI5" s="986"/>
      <c r="AJ5" s="986"/>
      <c r="AK5" s="986"/>
      <c r="AL5" s="986"/>
      <c r="AM5" s="986"/>
      <c r="AN5" s="986"/>
      <c r="AO5" s="986"/>
      <c r="AP5" s="986"/>
      <c r="AQ5" s="986"/>
      <c r="AR5" s="986"/>
      <c r="AS5" s="986"/>
      <c r="AT5" s="986"/>
      <c r="AU5" s="986"/>
      <c r="AV5" s="986"/>
    </row>
    <row r="6" spans="1:48" x14ac:dyDescent="0.3">
      <c r="A6" s="160">
        <v>4</v>
      </c>
      <c r="B6" s="161">
        <v>1159.2</v>
      </c>
      <c r="C6" s="161">
        <v>733.7</v>
      </c>
      <c r="D6" s="161">
        <v>425.4</v>
      </c>
      <c r="E6" s="162"/>
      <c r="F6" s="986"/>
      <c r="G6" s="986"/>
      <c r="H6" s="986"/>
      <c r="I6" s="986"/>
      <c r="J6" s="986"/>
      <c r="K6" s="986"/>
      <c r="L6" s="986"/>
      <c r="M6" s="986"/>
      <c r="N6" s="986"/>
      <c r="O6" s="986"/>
      <c r="P6" s="986"/>
      <c r="Q6" s="986"/>
      <c r="R6" s="986"/>
      <c r="S6" s="986"/>
      <c r="T6" s="986"/>
      <c r="U6" s="986"/>
      <c r="V6" s="986"/>
      <c r="W6" s="986"/>
      <c r="X6" s="986"/>
      <c r="Y6" s="986"/>
      <c r="Z6" s="986"/>
      <c r="AA6" s="986"/>
      <c r="AB6" s="986"/>
      <c r="AC6" s="986"/>
      <c r="AD6" s="986"/>
      <c r="AE6" s="986"/>
      <c r="AF6" s="986"/>
      <c r="AG6" s="986"/>
      <c r="AH6" s="986"/>
      <c r="AI6" s="986"/>
      <c r="AJ6" s="986"/>
      <c r="AK6" s="986"/>
      <c r="AL6" s="986"/>
      <c r="AM6" s="986"/>
      <c r="AN6" s="986"/>
      <c r="AO6" s="986"/>
      <c r="AP6" s="986"/>
      <c r="AQ6" s="986"/>
      <c r="AR6" s="986"/>
      <c r="AS6" s="986"/>
      <c r="AT6" s="986"/>
      <c r="AU6" s="986"/>
      <c r="AV6" s="986"/>
    </row>
    <row r="7" spans="1:48" x14ac:dyDescent="0.3">
      <c r="A7" s="160">
        <v>5</v>
      </c>
      <c r="B7" s="161">
        <v>882.6</v>
      </c>
      <c r="C7" s="161">
        <v>441.2</v>
      </c>
      <c r="D7" s="161">
        <v>441.4</v>
      </c>
      <c r="E7" s="162"/>
      <c r="F7" s="986"/>
      <c r="G7" s="986"/>
      <c r="H7" s="986"/>
      <c r="I7" s="986"/>
      <c r="J7" s="986"/>
      <c r="K7" s="986"/>
      <c r="L7" s="986"/>
      <c r="M7" s="986"/>
      <c r="N7" s="986"/>
      <c r="O7" s="986"/>
      <c r="P7" s="986"/>
      <c r="Q7" s="986"/>
      <c r="R7" s="986"/>
      <c r="S7" s="986"/>
      <c r="T7" s="986"/>
      <c r="U7" s="986"/>
      <c r="V7" s="986"/>
      <c r="W7" s="986"/>
      <c r="X7" s="986"/>
      <c r="Y7" s="986"/>
      <c r="Z7" s="986"/>
      <c r="AA7" s="986"/>
      <c r="AB7" s="986"/>
      <c r="AC7" s="986"/>
      <c r="AD7" s="986"/>
      <c r="AE7" s="986"/>
      <c r="AF7" s="986"/>
      <c r="AG7" s="986"/>
      <c r="AH7" s="986"/>
      <c r="AI7" s="986"/>
      <c r="AJ7" s="986"/>
      <c r="AK7" s="986"/>
      <c r="AL7" s="986"/>
      <c r="AM7" s="986"/>
      <c r="AN7" s="986"/>
      <c r="AO7" s="986"/>
      <c r="AP7" s="986"/>
      <c r="AQ7" s="986"/>
      <c r="AR7" s="986"/>
      <c r="AS7" s="986"/>
      <c r="AT7" s="986"/>
      <c r="AU7" s="986"/>
      <c r="AV7" s="986"/>
    </row>
    <row r="8" spans="1:48" x14ac:dyDescent="0.3">
      <c r="A8" s="24"/>
      <c r="B8" s="16"/>
      <c r="C8" s="16"/>
      <c r="D8" s="16"/>
      <c r="E8" s="16"/>
      <c r="F8" s="986"/>
      <c r="G8" s="986"/>
      <c r="H8" s="986"/>
      <c r="I8" s="986"/>
      <c r="J8" s="986"/>
      <c r="K8" s="986"/>
      <c r="L8" s="986"/>
      <c r="M8" s="986"/>
      <c r="N8" s="986"/>
      <c r="O8" s="986"/>
      <c r="P8" s="986"/>
      <c r="Q8" s="986"/>
      <c r="R8" s="986"/>
      <c r="S8" s="986"/>
      <c r="T8" s="986"/>
      <c r="U8" s="986"/>
      <c r="V8" s="986"/>
      <c r="W8" s="986"/>
      <c r="X8" s="986"/>
      <c r="Y8" s="986"/>
      <c r="Z8" s="986"/>
      <c r="AA8" s="986"/>
      <c r="AB8" s="986"/>
      <c r="AC8" s="986"/>
      <c r="AD8" s="986"/>
      <c r="AE8" s="986"/>
      <c r="AF8" s="986"/>
      <c r="AG8" s="986"/>
      <c r="AH8" s="986"/>
      <c r="AI8" s="986"/>
      <c r="AJ8" s="986"/>
      <c r="AK8" s="986"/>
      <c r="AL8" s="986"/>
      <c r="AM8" s="986"/>
      <c r="AN8" s="986"/>
      <c r="AO8" s="986"/>
      <c r="AP8" s="986"/>
      <c r="AQ8" s="986"/>
      <c r="AR8" s="986"/>
      <c r="AS8" s="986"/>
      <c r="AT8" s="986"/>
      <c r="AU8" s="986"/>
      <c r="AV8" s="986"/>
    </row>
    <row r="9" spans="1:48" x14ac:dyDescent="0.3">
      <c r="A9" s="24"/>
      <c r="B9" s="16"/>
      <c r="C9" s="16"/>
      <c r="D9" s="16"/>
      <c r="E9" s="16"/>
      <c r="F9" s="986"/>
      <c r="G9" s="986"/>
      <c r="H9" s="986"/>
      <c r="I9" s="986"/>
      <c r="J9" s="986"/>
      <c r="K9" s="986"/>
      <c r="L9" s="986"/>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row>
    <row r="10" spans="1:48" x14ac:dyDescent="0.3">
      <c r="A10" s="24"/>
      <c r="B10" s="16"/>
      <c r="C10" s="16"/>
      <c r="D10" s="16"/>
      <c r="E10" s="16"/>
      <c r="F10" s="986"/>
      <c r="G10" s="986"/>
      <c r="H10" s="986"/>
      <c r="I10" s="986"/>
      <c r="J10" s="986"/>
      <c r="K10" s="986"/>
      <c r="L10" s="986"/>
      <c r="M10" s="986"/>
      <c r="N10" s="986"/>
      <c r="O10" s="986"/>
      <c r="P10" s="986"/>
      <c r="Q10" s="986"/>
      <c r="R10" s="986"/>
      <c r="S10" s="986"/>
      <c r="T10" s="986"/>
      <c r="U10" s="986"/>
      <c r="V10" s="986"/>
      <c r="W10" s="986"/>
      <c r="X10" s="986"/>
      <c r="Y10" s="986"/>
      <c r="Z10" s="986"/>
      <c r="AA10" s="986"/>
      <c r="AB10" s="986"/>
      <c r="AC10" s="986"/>
      <c r="AD10" s="986"/>
      <c r="AE10" s="986"/>
      <c r="AF10" s="986"/>
      <c r="AG10" s="986"/>
      <c r="AH10" s="986"/>
      <c r="AI10" s="986"/>
      <c r="AJ10" s="986"/>
      <c r="AK10" s="986"/>
      <c r="AL10" s="986"/>
      <c r="AM10" s="986"/>
      <c r="AN10" s="986"/>
      <c r="AO10" s="986"/>
      <c r="AP10" s="986"/>
      <c r="AQ10" s="986"/>
      <c r="AR10" s="986"/>
      <c r="AS10" s="986"/>
      <c r="AT10" s="986"/>
      <c r="AU10" s="986"/>
      <c r="AV10" s="986"/>
    </row>
    <row r="11" spans="1:48" x14ac:dyDescent="0.3">
      <c r="A11" s="24"/>
      <c r="B11" s="16"/>
      <c r="C11" s="16"/>
      <c r="D11" s="16"/>
      <c r="E11" s="16"/>
      <c r="F11" s="986"/>
      <c r="G11" s="986"/>
      <c r="H11" s="986"/>
      <c r="I11" s="986"/>
      <c r="J11" s="986"/>
      <c r="K11" s="986"/>
      <c r="L11" s="986"/>
      <c r="M11" s="986"/>
      <c r="N11" s="986"/>
      <c r="O11" s="986"/>
      <c r="P11" s="986"/>
      <c r="Q11" s="986"/>
      <c r="R11" s="986"/>
      <c r="S11" s="986"/>
      <c r="T11" s="986"/>
      <c r="U11" s="986"/>
      <c r="V11" s="986"/>
      <c r="W11" s="986"/>
      <c r="X11" s="986"/>
      <c r="Y11" s="986"/>
      <c r="Z11" s="986"/>
      <c r="AA11" s="986"/>
      <c r="AB11" s="986"/>
      <c r="AC11" s="986"/>
      <c r="AD11" s="986"/>
      <c r="AE11" s="986"/>
      <c r="AF11" s="986"/>
      <c r="AG11" s="986"/>
      <c r="AH11" s="986"/>
      <c r="AI11" s="986"/>
      <c r="AJ11" s="986"/>
      <c r="AK11" s="986"/>
      <c r="AL11" s="986"/>
      <c r="AM11" s="986"/>
      <c r="AN11" s="986"/>
      <c r="AO11" s="986"/>
      <c r="AP11" s="986"/>
      <c r="AQ11" s="986"/>
      <c r="AR11" s="986"/>
      <c r="AS11" s="986"/>
      <c r="AT11" s="986"/>
      <c r="AU11" s="986"/>
      <c r="AV11" s="986"/>
    </row>
    <row r="12" spans="1:48" x14ac:dyDescent="0.3">
      <c r="A12" s="24"/>
      <c r="B12" s="16"/>
      <c r="C12" s="16"/>
      <c r="D12" s="16"/>
      <c r="E12" s="16"/>
      <c r="F12" s="986"/>
      <c r="G12" s="986"/>
      <c r="H12" s="986"/>
      <c r="I12" s="986"/>
      <c r="J12" s="986"/>
      <c r="K12" s="986"/>
      <c r="L12" s="986"/>
      <c r="M12" s="986"/>
      <c r="N12" s="986"/>
      <c r="O12" s="986"/>
      <c r="P12" s="986"/>
      <c r="Q12" s="986"/>
      <c r="R12" s="986"/>
      <c r="S12" s="986"/>
      <c r="T12" s="986"/>
      <c r="U12" s="986"/>
      <c r="V12" s="986"/>
      <c r="W12" s="986"/>
      <c r="X12" s="986"/>
      <c r="Y12" s="986"/>
      <c r="Z12" s="986"/>
      <c r="AA12" s="986"/>
      <c r="AB12" s="986"/>
      <c r="AC12" s="986"/>
      <c r="AD12" s="986"/>
      <c r="AE12" s="986"/>
      <c r="AF12" s="986"/>
      <c r="AG12" s="986"/>
      <c r="AH12" s="986"/>
      <c r="AI12" s="986"/>
      <c r="AJ12" s="986"/>
      <c r="AK12" s="986"/>
      <c r="AL12" s="986"/>
      <c r="AM12" s="986"/>
      <c r="AN12" s="986"/>
      <c r="AO12" s="986"/>
      <c r="AP12" s="986"/>
      <c r="AQ12" s="986"/>
      <c r="AR12" s="986"/>
      <c r="AS12" s="986"/>
      <c r="AT12" s="986"/>
      <c r="AU12" s="986"/>
      <c r="AV12" s="986"/>
    </row>
    <row r="14" spans="1:48" x14ac:dyDescent="0.3">
      <c r="A14" s="163"/>
      <c r="B14" s="1507" t="s">
        <v>527</v>
      </c>
      <c r="C14" s="1508"/>
      <c r="D14" s="1508"/>
      <c r="E14" s="1508"/>
      <c r="F14" s="1508"/>
      <c r="G14" s="1509"/>
      <c r="H14" s="164" t="s">
        <v>338</v>
      </c>
      <c r="I14" s="1"/>
      <c r="J14" s="1"/>
      <c r="K14" s="1"/>
      <c r="L14" s="1"/>
      <c r="M14" s="165"/>
      <c r="N14" s="166" t="s">
        <v>528</v>
      </c>
      <c r="O14" s="167"/>
      <c r="P14" s="167"/>
      <c r="Q14" s="167"/>
      <c r="R14" s="167"/>
      <c r="S14" s="168"/>
      <c r="T14" s="169" t="s">
        <v>529</v>
      </c>
      <c r="U14" s="170"/>
      <c r="V14" s="170"/>
      <c r="W14" s="170"/>
      <c r="X14" s="170"/>
      <c r="Y14" s="171"/>
      <c r="Z14" s="172" t="s">
        <v>530</v>
      </c>
      <c r="AA14" s="173"/>
      <c r="AB14" s="173"/>
      <c r="AC14" s="173"/>
      <c r="AD14" s="173"/>
      <c r="AE14" s="174"/>
      <c r="AF14" s="2" t="s">
        <v>531</v>
      </c>
      <c r="AG14" s="3"/>
      <c r="AH14" s="3"/>
      <c r="AI14" s="3"/>
      <c r="AJ14" s="3"/>
      <c r="AK14" s="4"/>
      <c r="AL14" s="5" t="s">
        <v>475</v>
      </c>
      <c r="AM14" s="6"/>
      <c r="AN14" s="6"/>
      <c r="AO14" s="6"/>
      <c r="AP14" s="6"/>
      <c r="AQ14" s="6"/>
      <c r="AR14" s="1510"/>
      <c r="AS14" s="1510"/>
      <c r="AT14" s="1510"/>
      <c r="AU14" s="1510"/>
      <c r="AV14" s="1510"/>
    </row>
    <row r="15" spans="1:48" x14ac:dyDescent="0.3">
      <c r="A15" s="163" t="s">
        <v>476</v>
      </c>
      <c r="B15" s="175" t="s">
        <v>490</v>
      </c>
      <c r="C15" s="176" t="s">
        <v>491</v>
      </c>
      <c r="D15" s="176" t="s">
        <v>348</v>
      </c>
      <c r="E15" s="176" t="s">
        <v>532</v>
      </c>
      <c r="F15" s="176" t="s">
        <v>277</v>
      </c>
      <c r="G15" s="177" t="s">
        <v>533</v>
      </c>
      <c r="H15" s="178" t="s">
        <v>490</v>
      </c>
      <c r="I15" s="179" t="s">
        <v>491</v>
      </c>
      <c r="J15" s="179" t="s">
        <v>348</v>
      </c>
      <c r="K15" s="179" t="s">
        <v>492</v>
      </c>
      <c r="L15" s="179" t="s">
        <v>277</v>
      </c>
      <c r="M15" s="180" t="s">
        <v>278</v>
      </c>
      <c r="N15" s="181" t="s">
        <v>490</v>
      </c>
      <c r="O15" s="111" t="s">
        <v>491</v>
      </c>
      <c r="P15" s="111" t="s">
        <v>348</v>
      </c>
      <c r="Q15" s="111" t="s">
        <v>492</v>
      </c>
      <c r="R15" s="111" t="s">
        <v>277</v>
      </c>
      <c r="S15" s="111" t="s">
        <v>278</v>
      </c>
      <c r="T15" s="182" t="s">
        <v>490</v>
      </c>
      <c r="U15" s="183" t="s">
        <v>491</v>
      </c>
      <c r="V15" s="183" t="s">
        <v>348</v>
      </c>
      <c r="W15" s="183" t="s">
        <v>492</v>
      </c>
      <c r="X15" s="183" t="s">
        <v>277</v>
      </c>
      <c r="Y15" s="184" t="s">
        <v>533</v>
      </c>
      <c r="Z15" s="185" t="s">
        <v>490</v>
      </c>
      <c r="AA15" s="186" t="s">
        <v>491</v>
      </c>
      <c r="AB15" s="186" t="s">
        <v>348</v>
      </c>
      <c r="AC15" s="186" t="s">
        <v>492</v>
      </c>
      <c r="AD15" s="186" t="s">
        <v>277</v>
      </c>
      <c r="AE15" s="187" t="s">
        <v>278</v>
      </c>
      <c r="AF15" s="188" t="s">
        <v>490</v>
      </c>
      <c r="AG15" s="189" t="s">
        <v>491</v>
      </c>
      <c r="AH15" s="189" t="s">
        <v>348</v>
      </c>
      <c r="AI15" s="189" t="s">
        <v>492</v>
      </c>
      <c r="AJ15" s="189" t="s">
        <v>277</v>
      </c>
      <c r="AK15" s="189" t="s">
        <v>278</v>
      </c>
      <c r="AL15" s="190" t="s">
        <v>490</v>
      </c>
      <c r="AM15" s="191" t="s">
        <v>491</v>
      </c>
      <c r="AN15" s="191" t="s">
        <v>348</v>
      </c>
      <c r="AO15" s="191" t="s">
        <v>492</v>
      </c>
      <c r="AP15" s="191" t="s">
        <v>277</v>
      </c>
      <c r="AQ15" s="192" t="s">
        <v>278</v>
      </c>
      <c r="AR15" s="997"/>
      <c r="AS15" s="997"/>
      <c r="AT15" s="997"/>
      <c r="AU15" s="997"/>
      <c r="AV15" s="997"/>
    </row>
    <row r="16" spans="1:48" x14ac:dyDescent="0.3">
      <c r="A16" s="17">
        <v>2000</v>
      </c>
      <c r="B16" s="193">
        <v>2.1132</v>
      </c>
      <c r="C16" s="160">
        <v>0.29970000000000002</v>
      </c>
      <c r="D16" s="160">
        <v>18571</v>
      </c>
      <c r="E16" s="160"/>
      <c r="F16" s="160">
        <v>13410</v>
      </c>
      <c r="G16" s="194">
        <v>21205</v>
      </c>
      <c r="H16" s="193">
        <v>1.6103000000000001</v>
      </c>
      <c r="I16" s="160">
        <v>0.39439999999999997</v>
      </c>
      <c r="J16" s="160">
        <v>5637</v>
      </c>
      <c r="K16" s="160"/>
      <c r="L16" s="160">
        <v>2998</v>
      </c>
      <c r="M16" s="194">
        <v>17596</v>
      </c>
      <c r="N16" s="195">
        <v>0.75829999999999997</v>
      </c>
      <c r="O16" s="160">
        <v>0.2394</v>
      </c>
      <c r="P16" s="196">
        <v>1252</v>
      </c>
      <c r="Q16" s="196"/>
      <c r="R16" s="160">
        <v>727</v>
      </c>
      <c r="S16" s="197">
        <v>15959</v>
      </c>
      <c r="T16" s="198">
        <v>4.2145651900423324</v>
      </c>
      <c r="U16" s="199">
        <v>1.0148077456857152</v>
      </c>
      <c r="V16" s="200">
        <v>6724.0605994099997</v>
      </c>
      <c r="W16" s="201"/>
      <c r="X16" s="200">
        <v>3955.3814502699997</v>
      </c>
      <c r="Y16" s="202">
        <v>14631.0156308613</v>
      </c>
      <c r="Z16" s="203">
        <v>4.2096961295956721</v>
      </c>
      <c r="AA16" s="199">
        <v>1.2933879158694843</v>
      </c>
      <c r="AB16" s="200">
        <v>4879.6681759099993</v>
      </c>
      <c r="AC16" s="200"/>
      <c r="AD16" s="200">
        <v>3534.7416725499997</v>
      </c>
      <c r="AE16" s="204">
        <v>9298.9587404800004</v>
      </c>
      <c r="AF16" s="205">
        <v>8.9522125877268932E-2</v>
      </c>
      <c r="AG16" s="206">
        <v>6.9270885141098651E-2</v>
      </c>
      <c r="AH16" s="200">
        <v>79.010053908000003</v>
      </c>
      <c r="AI16" s="200"/>
      <c r="AJ16" s="200">
        <v>10.714214803000001</v>
      </c>
      <c r="AK16" s="207">
        <v>259.2342989</v>
      </c>
      <c r="AL16" s="13"/>
      <c r="AM16" s="14"/>
      <c r="AN16" s="15"/>
      <c r="AO16" s="15"/>
      <c r="AP16" s="15"/>
      <c r="AQ16" s="15"/>
      <c r="AR16" s="16"/>
      <c r="AS16" s="16"/>
      <c r="AT16" s="16"/>
      <c r="AU16" s="16"/>
      <c r="AV16" s="16"/>
    </row>
    <row r="17" spans="1:48" x14ac:dyDescent="0.3">
      <c r="A17" s="17">
        <v>2001</v>
      </c>
      <c r="B17" s="193">
        <v>2.5238</v>
      </c>
      <c r="C17" s="160">
        <v>0.2661</v>
      </c>
      <c r="D17" s="160">
        <v>22180</v>
      </c>
      <c r="E17" s="208">
        <f>D17/D16</f>
        <v>1.1943352538904743</v>
      </c>
      <c r="F17" s="160">
        <v>17596</v>
      </c>
      <c r="G17" s="194">
        <v>24518</v>
      </c>
      <c r="H17" s="193">
        <v>2.5527000000000002</v>
      </c>
      <c r="I17" s="160">
        <v>0.48559999999999998</v>
      </c>
      <c r="J17" s="160">
        <v>8936</v>
      </c>
      <c r="K17" s="208">
        <f>J17/J16</f>
        <v>1.585240376086571</v>
      </c>
      <c r="L17" s="160">
        <v>5536</v>
      </c>
      <c r="M17" s="194">
        <v>12583</v>
      </c>
      <c r="N17" s="195">
        <v>1.0530999999999999</v>
      </c>
      <c r="O17" s="160">
        <v>0.51639999999999997</v>
      </c>
      <c r="P17" s="160">
        <v>1738</v>
      </c>
      <c r="Q17" s="208">
        <f>P17/P16</f>
        <v>1.3881789137380192</v>
      </c>
      <c r="R17" s="160">
        <v>575</v>
      </c>
      <c r="S17" s="17">
        <v>3888</v>
      </c>
      <c r="T17" s="198">
        <v>4.7246695553686324</v>
      </c>
      <c r="U17" s="199">
        <v>0.63851521468630379</v>
      </c>
      <c r="V17" s="200">
        <v>7537.8984473999999</v>
      </c>
      <c r="W17" s="201">
        <f>V17/V16</f>
        <v>1.1210336873021951</v>
      </c>
      <c r="X17" s="200">
        <v>5340.6208624600004</v>
      </c>
      <c r="Y17" s="207">
        <v>9292.4293569000001</v>
      </c>
      <c r="Z17" s="203">
        <v>3.3224836211422795</v>
      </c>
      <c r="AA17" s="199">
        <v>0.77625521235566008</v>
      </c>
      <c r="AB17" s="200">
        <v>3851.25602703</v>
      </c>
      <c r="AC17" s="201">
        <f>AB17/AB16</f>
        <v>0.78924547493678443</v>
      </c>
      <c r="AD17" s="200">
        <v>2918.9984609099997</v>
      </c>
      <c r="AE17" s="204">
        <v>6532.3187912200001</v>
      </c>
      <c r="AF17" s="205">
        <v>0.13224269659604132</v>
      </c>
      <c r="AG17" s="206">
        <v>7.6416929886920906E-2</v>
      </c>
      <c r="AH17" s="200">
        <v>116.71419198999999</v>
      </c>
      <c r="AI17" s="201">
        <f>AH17/AH16</f>
        <v>1.4772068390929465</v>
      </c>
      <c r="AJ17" s="200">
        <v>13.924582732999999</v>
      </c>
      <c r="AK17" s="207">
        <v>258.62927914600004</v>
      </c>
      <c r="AL17" s="13"/>
      <c r="AM17" s="14"/>
      <c r="AN17" s="15">
        <v>661</v>
      </c>
      <c r="AO17" s="15"/>
      <c r="AP17" s="15">
        <v>556</v>
      </c>
      <c r="AQ17" s="15">
        <v>786</v>
      </c>
      <c r="AR17" s="16"/>
      <c r="AS17" s="16"/>
      <c r="AT17" s="16"/>
      <c r="AU17" s="16"/>
      <c r="AV17" s="16"/>
    </row>
    <row r="18" spans="1:48" x14ac:dyDescent="0.3">
      <c r="A18" s="17">
        <v>2002</v>
      </c>
      <c r="B18" s="193">
        <v>2.6938</v>
      </c>
      <c r="C18" s="160">
        <v>0.30909999999999999</v>
      </c>
      <c r="D18" s="160">
        <v>23673</v>
      </c>
      <c r="E18" s="208">
        <f t="shared" ref="E18:E26" si="0">D18/D17</f>
        <v>1.0673128944995491</v>
      </c>
      <c r="F18" s="160">
        <v>48349</v>
      </c>
      <c r="G18" s="194">
        <v>26390</v>
      </c>
      <c r="H18" s="193">
        <v>2.7759999999999998</v>
      </c>
      <c r="I18" s="160">
        <v>0.58330000000000004</v>
      </c>
      <c r="J18" s="160">
        <v>9717</v>
      </c>
      <c r="K18" s="208">
        <f t="shared" ref="K18:K26" si="1">J18/J17</f>
        <v>1.0873992837958819</v>
      </c>
      <c r="L18" s="160">
        <v>6075</v>
      </c>
      <c r="M18" s="194">
        <v>14027</v>
      </c>
      <c r="N18" s="195">
        <v>1.5871</v>
      </c>
      <c r="O18" s="160">
        <v>0.48499999999999999</v>
      </c>
      <c r="P18" s="160">
        <v>2619</v>
      </c>
      <c r="Q18" s="208">
        <f t="shared" ref="Q18:Q26" si="2">P18/P17</f>
        <v>1.506904487917146</v>
      </c>
      <c r="R18" s="160">
        <v>565</v>
      </c>
      <c r="S18" s="17">
        <v>3784</v>
      </c>
      <c r="T18" s="198">
        <v>3.9308365749570333</v>
      </c>
      <c r="U18" s="199">
        <v>0.91204444177374389</v>
      </c>
      <c r="V18" s="200">
        <v>6271.39032013</v>
      </c>
      <c r="W18" s="201">
        <f t="shared" ref="W18:W26" si="3">V18/V17</f>
        <v>0.83198126956634066</v>
      </c>
      <c r="X18" s="200">
        <v>3956.6825405999998</v>
      </c>
      <c r="Y18" s="207">
        <v>10060.438590020001</v>
      </c>
      <c r="Z18" s="203">
        <v>4.1544470850017934</v>
      </c>
      <c r="AA18" s="199">
        <v>0.57177178504475601</v>
      </c>
      <c r="AB18" s="200">
        <v>4815.6262602099996</v>
      </c>
      <c r="AC18" s="201">
        <f t="shared" ref="AC18:AC26" si="4">AB18/AB17</f>
        <v>1.2504040828268952</v>
      </c>
      <c r="AD18" s="200">
        <v>3608.0601023899999</v>
      </c>
      <c r="AE18" s="204">
        <v>6247.0519198999991</v>
      </c>
      <c r="AF18" s="205">
        <v>0.28279303981801618</v>
      </c>
      <c r="AG18" s="206">
        <v>0.12093708604284924</v>
      </c>
      <c r="AH18" s="200">
        <v>249.58626822000002</v>
      </c>
      <c r="AI18" s="201">
        <f t="shared" ref="AI18:AI24" si="5">AH18/AH17</f>
        <v>2.1384397558215067</v>
      </c>
      <c r="AJ18" s="200">
        <v>29.525026846999999</v>
      </c>
      <c r="AK18" s="207">
        <v>411.96014919000004</v>
      </c>
      <c r="AL18" s="13"/>
      <c r="AM18" s="14"/>
      <c r="AN18" s="15">
        <v>683</v>
      </c>
      <c r="AO18" s="14">
        <f>AN18/AN17</f>
        <v>1.0332829046898639</v>
      </c>
      <c r="AP18" s="15">
        <v>561</v>
      </c>
      <c r="AQ18" s="15">
        <v>832</v>
      </c>
      <c r="AR18" s="16"/>
      <c r="AS18" s="16"/>
      <c r="AT18" s="16"/>
      <c r="AU18" s="16"/>
      <c r="AV18" s="16"/>
    </row>
    <row r="19" spans="1:48" x14ac:dyDescent="0.3">
      <c r="A19" s="17">
        <v>2003</v>
      </c>
      <c r="B19" s="193">
        <v>2.5287000000000002</v>
      </c>
      <c r="C19" s="160">
        <v>0.24129999999999999</v>
      </c>
      <c r="D19" s="160">
        <v>22217</v>
      </c>
      <c r="E19" s="208">
        <f t="shared" si="0"/>
        <v>0.93849533223503567</v>
      </c>
      <c r="F19" s="160">
        <v>18063</v>
      </c>
      <c r="G19" s="194">
        <v>24337</v>
      </c>
      <c r="H19" s="193">
        <v>2.4281999999999999</v>
      </c>
      <c r="I19" s="160">
        <v>0.43409999999999999</v>
      </c>
      <c r="J19" s="160">
        <v>8495</v>
      </c>
      <c r="K19" s="208">
        <f t="shared" si="1"/>
        <v>0.87424102089122158</v>
      </c>
      <c r="L19" s="160">
        <v>5740</v>
      </c>
      <c r="M19" s="194">
        <v>11708</v>
      </c>
      <c r="N19" s="195">
        <v>2.0076999999999998</v>
      </c>
      <c r="O19" s="160">
        <v>0.48</v>
      </c>
      <c r="P19" s="160">
        <v>3314</v>
      </c>
      <c r="Q19" s="208">
        <f t="shared" si="2"/>
        <v>1.26536846124475</v>
      </c>
      <c r="R19" s="160">
        <v>1959</v>
      </c>
      <c r="S19" s="17">
        <v>5039</v>
      </c>
      <c r="T19" s="198">
        <v>3.6767788772146002</v>
      </c>
      <c r="U19" s="199">
        <v>0.59673543814930807</v>
      </c>
      <c r="V19" s="200">
        <v>5866.0580311899994</v>
      </c>
      <c r="W19" s="201">
        <f t="shared" si="3"/>
        <v>0.93536803352217468</v>
      </c>
      <c r="X19" s="200">
        <v>3895.2686270200002</v>
      </c>
      <c r="Y19" s="207">
        <v>7550.3849762300006</v>
      </c>
      <c r="Z19" s="203">
        <v>3.8775018620642139</v>
      </c>
      <c r="AA19" s="199">
        <v>0.69642217656369287</v>
      </c>
      <c r="AB19" s="200">
        <v>4494.6052772000003</v>
      </c>
      <c r="AC19" s="201">
        <f t="shared" si="4"/>
        <v>0.93333764589197998</v>
      </c>
      <c r="AD19" s="200">
        <v>3437.1254717000002</v>
      </c>
      <c r="AE19" s="204">
        <v>6710.3868539999994</v>
      </c>
      <c r="AF19" s="209">
        <v>5.4579895932671998E-2</v>
      </c>
      <c r="AG19" s="210">
        <v>3.4818460225930645E-2</v>
      </c>
      <c r="AH19" s="211">
        <v>48.170890470000003</v>
      </c>
      <c r="AI19" s="201">
        <f t="shared" si="5"/>
        <v>0.19300296772552947</v>
      </c>
      <c r="AJ19" s="211"/>
      <c r="AK19" s="212">
        <v>88.072951680000003</v>
      </c>
      <c r="AL19" s="13"/>
      <c r="AM19" s="14"/>
      <c r="AN19" s="15">
        <v>699</v>
      </c>
      <c r="AO19" s="14">
        <f>AN19/AN18</f>
        <v>1.0234260614934114</v>
      </c>
      <c r="AP19" s="15">
        <v>567</v>
      </c>
      <c r="AQ19" s="15">
        <v>860</v>
      </c>
      <c r="AR19" s="16"/>
      <c r="AS19" s="16"/>
      <c r="AT19" s="16"/>
      <c r="AU19" s="16"/>
      <c r="AV19" s="16"/>
    </row>
    <row r="20" spans="1:48" x14ac:dyDescent="0.3">
      <c r="A20" s="17">
        <v>2004</v>
      </c>
      <c r="B20" s="193">
        <v>2.4318</v>
      </c>
      <c r="C20" s="160">
        <v>0.25409999999999999</v>
      </c>
      <c r="D20" s="160">
        <v>21366</v>
      </c>
      <c r="E20" s="208">
        <f t="shared" si="0"/>
        <v>0.96169599855966148</v>
      </c>
      <c r="F20" s="160">
        <v>16989</v>
      </c>
      <c r="G20" s="194">
        <v>23599</v>
      </c>
      <c r="H20" s="193">
        <v>1.5645</v>
      </c>
      <c r="I20" s="160">
        <v>0.33289999999999997</v>
      </c>
      <c r="J20" s="160">
        <v>5473</v>
      </c>
      <c r="K20" s="208">
        <f t="shared" si="1"/>
        <v>0.64426133019423193</v>
      </c>
      <c r="L20" s="160">
        <v>2959</v>
      </c>
      <c r="M20" s="194">
        <v>7438</v>
      </c>
      <c r="N20" s="195">
        <v>1.861</v>
      </c>
      <c r="O20" s="160">
        <v>0.48220000000000002</v>
      </c>
      <c r="P20" s="160">
        <v>3071</v>
      </c>
      <c r="Q20" s="208">
        <f t="shared" si="2"/>
        <v>0.92667471333735663</v>
      </c>
      <c r="R20" s="160">
        <v>1742</v>
      </c>
      <c r="S20" s="17">
        <v>4596</v>
      </c>
      <c r="T20" s="198">
        <v>4.8769738654184378</v>
      </c>
      <c r="U20" s="199">
        <v>0.59566986968868696</v>
      </c>
      <c r="V20" s="200">
        <v>7780.8899220000003</v>
      </c>
      <c r="W20" s="201">
        <f t="shared" si="3"/>
        <v>1.3264256644971435</v>
      </c>
      <c r="X20" s="200">
        <v>5885.4172882000003</v>
      </c>
      <c r="Y20" s="207">
        <v>9763.4012426000008</v>
      </c>
      <c r="Z20" s="213">
        <v>4.2723213816000003</v>
      </c>
      <c r="AA20" s="214">
        <v>1.2472454493800991</v>
      </c>
      <c r="AB20" s="211">
        <v>4952.2602205000003</v>
      </c>
      <c r="AC20" s="201">
        <f t="shared" si="4"/>
        <v>1.1018231669022347</v>
      </c>
      <c r="AD20" s="211">
        <v>3813.4138953000001</v>
      </c>
      <c r="AE20" s="215">
        <v>9359.5539169000003</v>
      </c>
      <c r="AF20" s="209">
        <v>9.9445408299999996E-2</v>
      </c>
      <c r="AG20" s="210">
        <v>5.8235407202027425E-2</v>
      </c>
      <c r="AH20" s="211">
        <v>87.768101943999994</v>
      </c>
      <c r="AI20" s="201">
        <f t="shared" si="5"/>
        <v>1.8220153517539903</v>
      </c>
      <c r="AJ20" s="211">
        <v>19.234439566999999</v>
      </c>
      <c r="AK20" s="212">
        <v>208.46031120999999</v>
      </c>
      <c r="AL20" s="13"/>
      <c r="AM20" s="14"/>
      <c r="AN20" s="15"/>
      <c r="AO20" s="15"/>
      <c r="AP20" s="15"/>
      <c r="AQ20" s="15"/>
      <c r="AR20" s="16"/>
      <c r="AS20" s="16"/>
      <c r="AT20" s="16"/>
      <c r="AU20" s="16"/>
      <c r="AV20" s="16"/>
    </row>
    <row r="21" spans="1:48" x14ac:dyDescent="0.3">
      <c r="A21" s="17">
        <v>2005</v>
      </c>
      <c r="B21" s="193">
        <v>2.302</v>
      </c>
      <c r="C21" s="160">
        <v>0.24759999999999999</v>
      </c>
      <c r="D21" s="160">
        <v>20223</v>
      </c>
      <c r="E21" s="208">
        <f t="shared" si="0"/>
        <v>0.94650379106992422</v>
      </c>
      <c r="F21" s="160">
        <v>15959</v>
      </c>
      <c r="G21" s="194">
        <v>22398</v>
      </c>
      <c r="H21" s="193">
        <v>2.2751000000000001</v>
      </c>
      <c r="I21" s="160">
        <v>0.48199999999999998</v>
      </c>
      <c r="J21" s="160">
        <v>7956</v>
      </c>
      <c r="K21" s="208">
        <f t="shared" si="1"/>
        <v>1.4536817102137767</v>
      </c>
      <c r="L21" s="160">
        <v>4784</v>
      </c>
      <c r="M21" s="194">
        <v>11589</v>
      </c>
      <c r="N21" s="195">
        <v>1.51</v>
      </c>
      <c r="O21" s="160">
        <v>0.30690000000000001</v>
      </c>
      <c r="P21" s="160">
        <v>2492</v>
      </c>
      <c r="Q21" s="208">
        <f t="shared" si="2"/>
        <v>0.81146206447411262</v>
      </c>
      <c r="R21" s="160">
        <v>1629</v>
      </c>
      <c r="S21" s="17">
        <v>3642</v>
      </c>
      <c r="T21" s="198">
        <v>3.662408924656237</v>
      </c>
      <c r="U21" s="199">
        <v>0.59727272473837856</v>
      </c>
      <c r="V21" s="200">
        <v>5843.1317202999999</v>
      </c>
      <c r="W21" s="201">
        <f t="shared" si="3"/>
        <v>0.75095930913749276</v>
      </c>
      <c r="X21" s="200">
        <v>3617.8863398000003</v>
      </c>
      <c r="Y21" s="207">
        <v>7309.3274352000008</v>
      </c>
      <c r="Z21" s="203">
        <v>3.1423275830858883</v>
      </c>
      <c r="AA21" s="199">
        <v>0.73162413656649516</v>
      </c>
      <c r="AB21" s="200">
        <v>3642.4282024999998</v>
      </c>
      <c r="AC21" s="201">
        <f t="shared" si="4"/>
        <v>0.73550824074673637</v>
      </c>
      <c r="AD21" s="200">
        <v>2680.4532344999998</v>
      </c>
      <c r="AE21" s="204">
        <v>5955.4953721000002</v>
      </c>
      <c r="AF21" s="205">
        <v>0.32698959787553239</v>
      </c>
      <c r="AG21" s="206">
        <v>9.7001691917994501E-2</v>
      </c>
      <c r="AH21" s="200">
        <v>288.59307690000003</v>
      </c>
      <c r="AI21" s="201">
        <f t="shared" si="5"/>
        <v>3.2881316846083264</v>
      </c>
      <c r="AJ21" s="200">
        <v>117.3955854</v>
      </c>
      <c r="AK21" s="207">
        <v>453.14389559999995</v>
      </c>
      <c r="AL21" s="13"/>
      <c r="AM21" s="14"/>
      <c r="AN21" s="15"/>
      <c r="AO21" s="15"/>
      <c r="AP21" s="15"/>
      <c r="AQ21" s="15"/>
      <c r="AR21" s="16"/>
      <c r="AS21" s="16"/>
      <c r="AT21" s="16"/>
      <c r="AU21" s="16"/>
      <c r="AV21" s="16"/>
    </row>
    <row r="22" spans="1:48" x14ac:dyDescent="0.3">
      <c r="A22" s="17">
        <v>2006</v>
      </c>
      <c r="B22" s="193">
        <v>2.1395</v>
      </c>
      <c r="C22" s="160">
        <v>0.1709</v>
      </c>
      <c r="D22" s="160">
        <v>18795</v>
      </c>
      <c r="E22" s="208">
        <f t="shared" si="0"/>
        <v>0.92938733125649009</v>
      </c>
      <c r="F22" s="160">
        <v>15852</v>
      </c>
      <c r="G22" s="194">
        <v>20297</v>
      </c>
      <c r="H22" s="193">
        <v>1.6867000000000001</v>
      </c>
      <c r="I22" s="160">
        <v>0.30459999999999998</v>
      </c>
      <c r="J22" s="160">
        <v>5899</v>
      </c>
      <c r="K22" s="208">
        <f t="shared" si="1"/>
        <v>0.74145299145299148</v>
      </c>
      <c r="L22" s="160">
        <v>4013</v>
      </c>
      <c r="M22" s="194">
        <v>8208</v>
      </c>
      <c r="N22" s="195">
        <v>1.4426000000000001</v>
      </c>
      <c r="O22" s="160">
        <v>0.2641</v>
      </c>
      <c r="P22" s="160">
        <v>2381</v>
      </c>
      <c r="Q22" s="208">
        <f t="shared" si="2"/>
        <v>0.9554574638844302</v>
      </c>
      <c r="R22" s="160">
        <v>1672</v>
      </c>
      <c r="S22" s="17">
        <v>3430</v>
      </c>
      <c r="T22" s="198">
        <v>3.9955200613124702</v>
      </c>
      <c r="U22" s="199">
        <v>0.47105957928893405</v>
      </c>
      <c r="V22" s="200">
        <v>6374.5885534999998</v>
      </c>
      <c r="W22" s="201">
        <f t="shared" si="3"/>
        <v>1.0909541079407181</v>
      </c>
      <c r="X22" s="200">
        <v>4569.2087978999998</v>
      </c>
      <c r="Y22" s="207">
        <v>7429.2387338999997</v>
      </c>
      <c r="Z22" s="203">
        <v>3.4229144446760977</v>
      </c>
      <c r="AA22" s="199">
        <v>0.51958193660848773</v>
      </c>
      <c r="AB22" s="200">
        <v>3967.6703903000002</v>
      </c>
      <c r="AC22" s="201">
        <f t="shared" si="4"/>
        <v>1.0892926832646335</v>
      </c>
      <c r="AD22" s="200">
        <v>3167.5014633999999</v>
      </c>
      <c r="AE22" s="204">
        <v>5466.5928367000006</v>
      </c>
      <c r="AF22" s="216"/>
      <c r="AG22" s="14"/>
      <c r="AH22" s="15"/>
      <c r="AI22" s="201"/>
      <c r="AJ22" s="15"/>
      <c r="AK22" s="217"/>
      <c r="AL22" s="13"/>
      <c r="AM22" s="14"/>
      <c r="AN22" s="15"/>
      <c r="AO22" s="15"/>
      <c r="AP22" s="15"/>
      <c r="AQ22" s="15"/>
      <c r="AR22" s="16"/>
      <c r="AS22" s="16"/>
      <c r="AT22" s="16"/>
      <c r="AU22" s="16"/>
      <c r="AV22" s="16"/>
    </row>
    <row r="23" spans="1:48" x14ac:dyDescent="0.3">
      <c r="A23" s="17">
        <v>2007</v>
      </c>
      <c r="B23" s="193">
        <v>1.9755</v>
      </c>
      <c r="C23" s="160">
        <v>0.26450000000000001</v>
      </c>
      <c r="D23" s="160">
        <v>17354</v>
      </c>
      <c r="E23" s="208">
        <f t="shared" si="0"/>
        <v>0.92333067305134342</v>
      </c>
      <c r="F23" s="160">
        <v>12800</v>
      </c>
      <c r="G23" s="194">
        <v>19678</v>
      </c>
      <c r="H23" s="193">
        <v>1.9973000000000001</v>
      </c>
      <c r="I23" s="160">
        <v>0.4582</v>
      </c>
      <c r="J23" s="160">
        <v>6985</v>
      </c>
      <c r="K23" s="208">
        <f t="shared" si="1"/>
        <v>1.1840989998304798</v>
      </c>
      <c r="L23" s="160">
        <v>4105</v>
      </c>
      <c r="M23" s="194">
        <v>10382</v>
      </c>
      <c r="N23" s="195">
        <v>1.53</v>
      </c>
      <c r="O23" s="160">
        <v>0.4123</v>
      </c>
      <c r="P23" s="160">
        <v>2525</v>
      </c>
      <c r="Q23" s="208">
        <f t="shared" si="2"/>
        <v>1.0604787904241915</v>
      </c>
      <c r="R23" s="160">
        <v>1271</v>
      </c>
      <c r="S23" s="17">
        <v>3811</v>
      </c>
      <c r="T23" s="198">
        <v>2.5047716456462599</v>
      </c>
      <c r="U23" s="199">
        <v>0.50910140844935736</v>
      </c>
      <c r="V23" s="200">
        <v>3996.1978457</v>
      </c>
      <c r="W23" s="201">
        <f t="shared" si="3"/>
        <v>0.62689502422958221</v>
      </c>
      <c r="X23" s="200">
        <v>2713.7309801000001</v>
      </c>
      <c r="Y23" s="207">
        <v>5928.8020822000008</v>
      </c>
      <c r="Z23" s="218">
        <v>3.2703121642797983</v>
      </c>
      <c r="AA23" s="219">
        <v>1.1273548915556206</v>
      </c>
      <c r="AB23" s="220">
        <v>3790.78149635</v>
      </c>
      <c r="AC23" s="201">
        <f t="shared" si="4"/>
        <v>0.95541744234035897</v>
      </c>
      <c r="AD23" s="220">
        <v>2687.4050087700002</v>
      </c>
      <c r="AE23" s="221">
        <v>7341.6501314500001</v>
      </c>
      <c r="AF23" s="205">
        <v>6.5122104790774293E-2</v>
      </c>
      <c r="AG23" s="206">
        <v>2.3830712905791744E-2</v>
      </c>
      <c r="AH23" s="200">
        <v>57.475187945999998</v>
      </c>
      <c r="AI23" s="201"/>
      <c r="AJ23" s="200">
        <v>25.552533309000001</v>
      </c>
      <c r="AK23" s="207">
        <v>105.30291737</v>
      </c>
      <c r="AL23" s="13"/>
      <c r="AM23" s="14"/>
      <c r="AN23" s="15">
        <v>378</v>
      </c>
      <c r="AO23" s="15"/>
      <c r="AP23" s="15">
        <v>238</v>
      </c>
      <c r="AQ23" s="15">
        <v>518</v>
      </c>
      <c r="AR23" s="16"/>
      <c r="AS23" s="16"/>
      <c r="AT23" s="16"/>
      <c r="AU23" s="16"/>
      <c r="AV23" s="16"/>
    </row>
    <row r="24" spans="1:48" x14ac:dyDescent="0.3">
      <c r="A24" s="17">
        <v>2008</v>
      </c>
      <c r="B24" s="193">
        <v>2.0253000000000001</v>
      </c>
      <c r="C24" s="160">
        <v>0.1835</v>
      </c>
      <c r="D24" s="160">
        <v>17791</v>
      </c>
      <c r="E24" s="208">
        <f t="shared" si="0"/>
        <v>1.025181514348277</v>
      </c>
      <c r="F24" s="160">
        <v>14631</v>
      </c>
      <c r="G24" s="194">
        <v>19404</v>
      </c>
      <c r="H24" s="193">
        <v>1.3436999999999999</v>
      </c>
      <c r="I24" s="160">
        <v>0.2286</v>
      </c>
      <c r="J24" s="160">
        <v>4699</v>
      </c>
      <c r="K24" s="208">
        <f t="shared" si="1"/>
        <v>0.67272727272727273</v>
      </c>
      <c r="L24" s="160">
        <v>3132</v>
      </c>
      <c r="M24" s="194">
        <v>6201</v>
      </c>
      <c r="N24" s="195">
        <v>1.1781999999999999</v>
      </c>
      <c r="O24" s="986">
        <v>0.24840000000000001</v>
      </c>
      <c r="P24" s="160">
        <v>1944</v>
      </c>
      <c r="Q24" s="208">
        <f t="shared" si="2"/>
        <v>0.76990099009900992</v>
      </c>
      <c r="R24" s="160">
        <v>1187</v>
      </c>
      <c r="S24" s="17">
        <v>2843</v>
      </c>
      <c r="T24" s="198">
        <v>3.8713382902081808</v>
      </c>
      <c r="U24" s="214">
        <v>0.59500650855146853</v>
      </c>
      <c r="V24" s="200">
        <v>6176.4647336999997</v>
      </c>
      <c r="W24" s="201">
        <f t="shared" si="3"/>
        <v>1.5455853218944144</v>
      </c>
      <c r="X24" s="200">
        <v>4174.8474897000006</v>
      </c>
      <c r="Y24" s="207">
        <v>7903.4969621</v>
      </c>
      <c r="Z24" s="203">
        <v>4.1843311145725979</v>
      </c>
      <c r="AA24" s="214">
        <v>0.81296003431616592</v>
      </c>
      <c r="AB24" s="200">
        <v>4850.2663253299997</v>
      </c>
      <c r="AC24" s="201">
        <f t="shared" si="4"/>
        <v>1.2794898176009717</v>
      </c>
      <c r="AD24" s="200">
        <v>3688.1964127400001</v>
      </c>
      <c r="AE24" s="204">
        <v>7324.8987488000002</v>
      </c>
      <c r="AF24" s="205">
        <v>0.13727951920620401</v>
      </c>
      <c r="AG24" s="210">
        <v>6.937548635471949E-2</v>
      </c>
      <c r="AH24" s="200">
        <v>121.159569287</v>
      </c>
      <c r="AI24" s="201">
        <f t="shared" si="5"/>
        <v>2.1080325896599721</v>
      </c>
      <c r="AJ24" s="200"/>
      <c r="AK24" s="207">
        <v>241.52166069999998</v>
      </c>
      <c r="AL24" s="13"/>
      <c r="AM24" s="14"/>
      <c r="AN24" s="15">
        <v>174</v>
      </c>
      <c r="AO24" s="14">
        <f>AN24/AN23</f>
        <v>0.46031746031746029</v>
      </c>
      <c r="AP24" s="15">
        <v>91</v>
      </c>
      <c r="AQ24" s="15">
        <v>256</v>
      </c>
      <c r="AR24" s="16"/>
      <c r="AS24" s="16"/>
      <c r="AT24" s="16"/>
      <c r="AU24" s="16"/>
      <c r="AV24" s="16"/>
    </row>
    <row r="25" spans="1:48" x14ac:dyDescent="0.3">
      <c r="A25" s="17">
        <v>2009</v>
      </c>
      <c r="B25" s="193">
        <v>2.0207000000000002</v>
      </c>
      <c r="C25" s="160">
        <v>0.20599999999999999</v>
      </c>
      <c r="D25" s="160">
        <v>17751</v>
      </c>
      <c r="E25" s="208">
        <f t="shared" si="0"/>
        <v>0.99775167219380589</v>
      </c>
      <c r="F25" s="160">
        <v>14204</v>
      </c>
      <c r="G25" s="194">
        <v>21298</v>
      </c>
      <c r="H25" s="193">
        <v>1.6077999999999999</v>
      </c>
      <c r="I25" s="160">
        <v>0.32069999999999999</v>
      </c>
      <c r="J25" s="160">
        <v>5623</v>
      </c>
      <c r="K25" s="208">
        <f t="shared" si="1"/>
        <v>1.196637582464354</v>
      </c>
      <c r="L25" s="160">
        <v>3922</v>
      </c>
      <c r="M25" s="194">
        <v>8352</v>
      </c>
      <c r="N25" s="195">
        <v>0.76729999999999998</v>
      </c>
      <c r="O25" s="160">
        <v>0.17080000000000001</v>
      </c>
      <c r="P25" s="160">
        <v>1266</v>
      </c>
      <c r="Q25" s="208">
        <f t="shared" si="2"/>
        <v>0.65123456790123457</v>
      </c>
      <c r="R25" s="160">
        <v>751</v>
      </c>
      <c r="S25" s="17">
        <v>1881</v>
      </c>
      <c r="T25" s="198">
        <v>3.6917037659972145</v>
      </c>
      <c r="U25" s="214">
        <v>0.6550107048023861</v>
      </c>
      <c r="V25" s="200">
        <v>5889.8697062000001</v>
      </c>
      <c r="W25" s="201">
        <f t="shared" si="3"/>
        <v>0.95359885632694041</v>
      </c>
      <c r="X25" s="200">
        <v>3846.9452827999999</v>
      </c>
      <c r="Y25" s="207">
        <v>7969.1487245999997</v>
      </c>
      <c r="Z25" s="213">
        <v>4.1847111701999999</v>
      </c>
      <c r="AA25" s="214">
        <v>0.79131123962153149</v>
      </c>
      <c r="AB25" s="211">
        <v>4850.7068667000003</v>
      </c>
      <c r="AC25" s="201">
        <f t="shared" si="4"/>
        <v>1.0000908282845624</v>
      </c>
      <c r="AD25" s="211">
        <v>3575.2604135000001</v>
      </c>
      <c r="AE25" s="215">
        <v>7152.5614617000001</v>
      </c>
      <c r="AF25" s="216"/>
      <c r="AG25" s="14"/>
      <c r="AH25" s="15"/>
      <c r="AI25" s="201"/>
      <c r="AJ25" s="15"/>
      <c r="AK25" s="217"/>
      <c r="AL25" s="13"/>
      <c r="AM25" s="14"/>
      <c r="AN25" s="15">
        <v>631</v>
      </c>
      <c r="AO25" s="14">
        <f>AN25/AN24</f>
        <v>3.6264367816091956</v>
      </c>
      <c r="AP25" s="15">
        <v>449</v>
      </c>
      <c r="AQ25" s="15">
        <v>885</v>
      </c>
      <c r="AR25" s="16"/>
      <c r="AS25" s="16"/>
      <c r="AT25" s="16"/>
      <c r="AU25" s="16"/>
      <c r="AV25" s="16"/>
    </row>
    <row r="26" spans="1:48" x14ac:dyDescent="0.3">
      <c r="A26" s="17">
        <v>2010</v>
      </c>
      <c r="B26" s="193">
        <v>1.9</v>
      </c>
      <c r="C26" s="160">
        <v>0.21</v>
      </c>
      <c r="D26" s="160">
        <v>16691</v>
      </c>
      <c r="E26" s="208">
        <f t="shared" si="0"/>
        <v>0.94028505436313448</v>
      </c>
      <c r="F26" s="160">
        <v>13075</v>
      </c>
      <c r="G26" s="194">
        <v>20307</v>
      </c>
      <c r="H26" s="193">
        <v>1.2561</v>
      </c>
      <c r="I26" s="160">
        <v>0.25609999999999999</v>
      </c>
      <c r="J26" s="160">
        <v>4393</v>
      </c>
      <c r="K26" s="208">
        <f t="shared" si="1"/>
        <v>0.78125555753156672</v>
      </c>
      <c r="L26" s="160">
        <v>2689</v>
      </c>
      <c r="M26" s="194">
        <v>6367</v>
      </c>
      <c r="N26" s="195">
        <v>0.7792</v>
      </c>
      <c r="O26" s="160">
        <v>0.2</v>
      </c>
      <c r="P26" s="160">
        <v>1286</v>
      </c>
      <c r="Q26" s="208">
        <f t="shared" si="2"/>
        <v>1.0157977883096367</v>
      </c>
      <c r="R26" s="160">
        <v>650</v>
      </c>
      <c r="S26" s="17">
        <v>1946</v>
      </c>
      <c r="T26" s="222">
        <v>4.5274612485999999</v>
      </c>
      <c r="U26" s="214">
        <v>0.76415045626319344</v>
      </c>
      <c r="V26" s="211">
        <v>7223.2656096999999</v>
      </c>
      <c r="W26" s="201">
        <f t="shared" si="3"/>
        <v>1.2263880136595202</v>
      </c>
      <c r="X26" s="211">
        <v>4605.0926556000004</v>
      </c>
      <c r="Y26" s="212">
        <v>9519.9421939999993</v>
      </c>
      <c r="Z26" s="213">
        <v>3.1640255651999998</v>
      </c>
      <c r="AA26" s="214">
        <v>0.86386249880535315</v>
      </c>
      <c r="AB26" s="211">
        <v>3667.5794126000001</v>
      </c>
      <c r="AC26" s="201">
        <f t="shared" si="4"/>
        <v>0.75609174361325659</v>
      </c>
      <c r="AD26" s="211">
        <v>2195.9599653999999</v>
      </c>
      <c r="AE26" s="215">
        <v>6140.4474745999996</v>
      </c>
      <c r="AF26" s="216"/>
      <c r="AG26" s="14"/>
      <c r="AH26" s="15"/>
      <c r="AI26" s="201"/>
      <c r="AJ26" s="15"/>
      <c r="AK26" s="217"/>
      <c r="AL26" s="13"/>
      <c r="AM26" s="14"/>
      <c r="AN26" s="15"/>
      <c r="AO26" s="15"/>
      <c r="AP26" s="15"/>
      <c r="AQ26" s="15"/>
      <c r="AR26" s="16"/>
      <c r="AS26" s="16"/>
      <c r="AT26" s="16"/>
      <c r="AU26" s="16"/>
      <c r="AV26" s="16"/>
    </row>
    <row r="33" spans="1:85" ht="18.600000000000001" thickBot="1" x14ac:dyDescent="0.4">
      <c r="A33" s="163"/>
      <c r="B33" s="223" t="s">
        <v>338</v>
      </c>
      <c r="C33" s="224"/>
      <c r="D33" s="224"/>
      <c r="E33" s="224"/>
      <c r="F33" s="224"/>
      <c r="G33" s="224"/>
      <c r="H33" s="224"/>
      <c r="I33" s="224"/>
      <c r="J33" s="224"/>
      <c r="K33" s="224"/>
      <c r="L33" s="224"/>
      <c r="M33" s="224"/>
      <c r="N33" s="224"/>
      <c r="O33" s="224"/>
      <c r="P33" s="224"/>
      <c r="Q33" s="224"/>
      <c r="R33" s="224"/>
      <c r="S33" s="225"/>
      <c r="T33" s="226" t="s">
        <v>528</v>
      </c>
      <c r="U33" s="227"/>
      <c r="V33" s="227"/>
      <c r="W33" s="227"/>
      <c r="X33" s="227"/>
      <c r="Y33" s="227"/>
      <c r="Z33" s="227"/>
      <c r="AA33" s="227"/>
      <c r="AB33" s="227"/>
      <c r="AC33" s="227"/>
      <c r="AD33" s="227"/>
      <c r="AE33" s="228"/>
      <c r="AF33" s="229" t="s">
        <v>529</v>
      </c>
      <c r="AG33" s="230"/>
      <c r="AH33" s="230"/>
      <c r="AI33" s="230"/>
      <c r="AJ33" s="230"/>
      <c r="AK33" s="230"/>
      <c r="AL33" s="230"/>
      <c r="AM33" s="230"/>
      <c r="AN33" s="230"/>
      <c r="AO33" s="230"/>
      <c r="AP33" s="230"/>
      <c r="AQ33" s="231"/>
      <c r="AR33" s="232" t="s">
        <v>530</v>
      </c>
      <c r="AS33" s="233"/>
      <c r="AT33" s="233"/>
      <c r="AU33" s="233"/>
      <c r="AV33" s="233"/>
      <c r="AW33" s="233"/>
      <c r="AX33" s="233"/>
      <c r="AY33" s="233"/>
      <c r="AZ33" s="233"/>
      <c r="BA33" s="233"/>
      <c r="BB33" s="233"/>
      <c r="BC33" s="234"/>
      <c r="BD33" s="235" t="s">
        <v>531</v>
      </c>
      <c r="BE33" s="236"/>
      <c r="BF33" s="236"/>
      <c r="BG33" s="236"/>
      <c r="BH33" s="236"/>
      <c r="BI33" s="236"/>
      <c r="BJ33" s="236"/>
      <c r="BK33" s="236"/>
      <c r="BL33" s="236"/>
      <c r="BM33" s="236"/>
      <c r="BN33" s="236"/>
      <c r="BO33" s="237"/>
      <c r="BP33" s="238" t="s">
        <v>475</v>
      </c>
      <c r="BQ33" s="239"/>
      <c r="BR33" s="239"/>
      <c r="BS33" s="239"/>
      <c r="BT33" s="239"/>
      <c r="BU33" s="239"/>
      <c r="BV33" s="239"/>
      <c r="BW33" s="239"/>
      <c r="BX33" s="239"/>
      <c r="BY33" s="239"/>
      <c r="BZ33" s="239"/>
      <c r="CA33" s="239"/>
      <c r="CB33" s="239"/>
      <c r="CC33" s="239"/>
      <c r="CD33" s="239"/>
      <c r="CE33" s="239"/>
      <c r="CF33" s="239"/>
      <c r="CG33" s="239"/>
    </row>
    <row r="34" spans="1:85" ht="15" thickTop="1" x14ac:dyDescent="0.3">
      <c r="A34" s="163" t="s">
        <v>476</v>
      </c>
      <c r="B34" s="240" t="s">
        <v>534</v>
      </c>
      <c r="C34" s="241" t="s">
        <v>491</v>
      </c>
      <c r="D34" s="241" t="s">
        <v>535</v>
      </c>
      <c r="E34" s="241" t="s">
        <v>536</v>
      </c>
      <c r="F34" s="241" t="s">
        <v>537</v>
      </c>
      <c r="G34" s="242" t="s">
        <v>538</v>
      </c>
      <c r="H34" s="240" t="s">
        <v>539</v>
      </c>
      <c r="I34" s="241" t="s">
        <v>491</v>
      </c>
      <c r="J34" s="241" t="s">
        <v>540</v>
      </c>
      <c r="K34" s="241" t="s">
        <v>492</v>
      </c>
      <c r="L34" s="241" t="s">
        <v>541</v>
      </c>
      <c r="M34" s="243" t="s">
        <v>538</v>
      </c>
      <c r="N34" s="240" t="s">
        <v>542</v>
      </c>
      <c r="O34" s="241" t="s">
        <v>491</v>
      </c>
      <c r="P34" s="241" t="s">
        <v>543</v>
      </c>
      <c r="Q34" s="241" t="s">
        <v>492</v>
      </c>
      <c r="R34" s="241" t="s">
        <v>544</v>
      </c>
      <c r="S34" s="242" t="s">
        <v>545</v>
      </c>
      <c r="T34" s="244" t="s">
        <v>546</v>
      </c>
      <c r="U34" s="245" t="s">
        <v>491</v>
      </c>
      <c r="V34" s="245" t="s">
        <v>547</v>
      </c>
      <c r="W34" s="245" t="s">
        <v>492</v>
      </c>
      <c r="X34" s="245" t="s">
        <v>548</v>
      </c>
      <c r="Y34" s="246" t="s">
        <v>549</v>
      </c>
      <c r="Z34" s="247" t="s">
        <v>550</v>
      </c>
      <c r="AA34" s="248" t="s">
        <v>491</v>
      </c>
      <c r="AB34" s="248" t="s">
        <v>551</v>
      </c>
      <c r="AC34" s="248" t="s">
        <v>492</v>
      </c>
      <c r="AD34" s="248" t="s">
        <v>552</v>
      </c>
      <c r="AE34" s="249" t="s">
        <v>553</v>
      </c>
      <c r="AF34" s="250" t="s">
        <v>554</v>
      </c>
      <c r="AG34" s="251" t="s">
        <v>491</v>
      </c>
      <c r="AH34" s="251" t="s">
        <v>555</v>
      </c>
      <c r="AI34" s="251" t="s">
        <v>492</v>
      </c>
      <c r="AJ34" s="251" t="s">
        <v>556</v>
      </c>
      <c r="AK34" s="252" t="s">
        <v>557</v>
      </c>
      <c r="AL34" s="253" t="s">
        <v>558</v>
      </c>
      <c r="AM34" s="254" t="s">
        <v>491</v>
      </c>
      <c r="AN34" s="254" t="s">
        <v>559</v>
      </c>
      <c r="AO34" s="254" t="s">
        <v>492</v>
      </c>
      <c r="AP34" s="254" t="s">
        <v>560</v>
      </c>
      <c r="AQ34" s="255" t="s">
        <v>561</v>
      </c>
      <c r="AR34" s="256" t="s">
        <v>562</v>
      </c>
      <c r="AS34" s="257" t="s">
        <v>491</v>
      </c>
      <c r="AT34" s="257" t="s">
        <v>563</v>
      </c>
      <c r="AU34" s="257" t="s">
        <v>492</v>
      </c>
      <c r="AV34" s="257" t="s">
        <v>564</v>
      </c>
      <c r="AW34" s="258" t="s">
        <v>565</v>
      </c>
      <c r="AX34" s="259" t="s">
        <v>566</v>
      </c>
      <c r="AY34" s="260" t="s">
        <v>491</v>
      </c>
      <c r="AZ34" s="260" t="s">
        <v>567</v>
      </c>
      <c r="BA34" s="260" t="s">
        <v>492</v>
      </c>
      <c r="BB34" s="260" t="s">
        <v>568</v>
      </c>
      <c r="BC34" s="261" t="s">
        <v>569</v>
      </c>
      <c r="BD34" s="262" t="s">
        <v>570</v>
      </c>
      <c r="BE34" s="263" t="s">
        <v>491</v>
      </c>
      <c r="BF34" s="263" t="s">
        <v>571</v>
      </c>
      <c r="BG34" s="263" t="s">
        <v>492</v>
      </c>
      <c r="BH34" s="263" t="s">
        <v>572</v>
      </c>
      <c r="BI34" s="264" t="s">
        <v>573</v>
      </c>
      <c r="BJ34" s="265" t="s">
        <v>574</v>
      </c>
      <c r="BK34" s="266" t="s">
        <v>491</v>
      </c>
      <c r="BL34" s="266" t="s">
        <v>575</v>
      </c>
      <c r="BM34" s="266" t="s">
        <v>492</v>
      </c>
      <c r="BN34" s="266" t="s">
        <v>576</v>
      </c>
      <c r="BO34" s="267" t="s">
        <v>577</v>
      </c>
      <c r="BP34" s="268" t="s">
        <v>578</v>
      </c>
      <c r="BQ34" s="269" t="s">
        <v>491</v>
      </c>
      <c r="BR34" s="269" t="s">
        <v>579</v>
      </c>
      <c r="BS34" s="269" t="s">
        <v>536</v>
      </c>
      <c r="BT34" s="269" t="s">
        <v>580</v>
      </c>
      <c r="BU34" s="270" t="s">
        <v>581</v>
      </c>
      <c r="BV34" s="271" t="s">
        <v>582</v>
      </c>
      <c r="BW34" s="272" t="s">
        <v>491</v>
      </c>
      <c r="BX34" s="272" t="s">
        <v>583</v>
      </c>
      <c r="BY34" s="272" t="s">
        <v>492</v>
      </c>
      <c r="BZ34" s="272" t="s">
        <v>584</v>
      </c>
      <c r="CA34" s="273" t="s">
        <v>585</v>
      </c>
      <c r="CB34" s="271" t="s">
        <v>586</v>
      </c>
      <c r="CC34" s="272" t="s">
        <v>491</v>
      </c>
      <c r="CD34" s="272" t="s">
        <v>587</v>
      </c>
      <c r="CE34" s="272" t="s">
        <v>492</v>
      </c>
      <c r="CF34" s="272" t="s">
        <v>588</v>
      </c>
      <c r="CG34" s="273" t="s">
        <v>589</v>
      </c>
    </row>
    <row r="35" spans="1:85" x14ac:dyDescent="0.3">
      <c r="A35" s="17">
        <v>2000</v>
      </c>
      <c r="B35" s="193">
        <v>3.3607999999999998</v>
      </c>
      <c r="C35" s="160">
        <v>0.83840000000000003</v>
      </c>
      <c r="D35" s="160">
        <v>2841</v>
      </c>
      <c r="E35" s="160"/>
      <c r="F35" s="160">
        <v>1615</v>
      </c>
      <c r="G35" s="194">
        <v>18349</v>
      </c>
      <c r="H35" s="193">
        <v>1.1134999999999999</v>
      </c>
      <c r="I35" s="160">
        <v>0.45889999999999997</v>
      </c>
      <c r="J35" s="160">
        <v>1332</v>
      </c>
      <c r="K35" s="160"/>
      <c r="L35" s="160">
        <v>502</v>
      </c>
      <c r="M35" s="17">
        <v>18063</v>
      </c>
      <c r="N35" s="193">
        <v>1.0034000000000001</v>
      </c>
      <c r="O35" s="160">
        <v>0.58589999999999998</v>
      </c>
      <c r="P35" s="160">
        <v>1464</v>
      </c>
      <c r="Q35" s="160"/>
      <c r="R35" s="160">
        <v>141</v>
      </c>
      <c r="S35" s="17">
        <v>16989</v>
      </c>
      <c r="T35" s="193">
        <v>1.2286999999999999</v>
      </c>
      <c r="U35" s="160">
        <v>0.4592</v>
      </c>
      <c r="V35" s="160">
        <v>890</v>
      </c>
      <c r="W35" s="160"/>
      <c r="X35" s="160">
        <v>422</v>
      </c>
      <c r="Y35" s="17">
        <v>15852</v>
      </c>
      <c r="Z35" s="193">
        <v>0.39029999999999998</v>
      </c>
      <c r="AA35" s="160">
        <v>0.1525</v>
      </c>
      <c r="AB35" s="160">
        <v>361</v>
      </c>
      <c r="AC35" s="160"/>
      <c r="AD35" s="160">
        <v>190</v>
      </c>
      <c r="AE35" s="194">
        <v>12800</v>
      </c>
      <c r="AF35" s="193">
        <v>1.5009999999999999</v>
      </c>
      <c r="AG35" s="160">
        <v>0.3901</v>
      </c>
      <c r="AH35" s="160">
        <v>992</v>
      </c>
      <c r="AI35" s="160"/>
      <c r="AJ35" s="160">
        <v>496</v>
      </c>
      <c r="AK35" s="17">
        <v>14201</v>
      </c>
      <c r="AL35" s="193">
        <v>6.1334999999999997</v>
      </c>
      <c r="AM35" s="160">
        <v>1.5692999999999999</v>
      </c>
      <c r="AN35" s="160">
        <v>5732</v>
      </c>
      <c r="AO35" s="160"/>
      <c r="AP35" s="160">
        <v>3227</v>
      </c>
      <c r="AQ35" s="194">
        <v>12945</v>
      </c>
      <c r="AR35" s="193">
        <v>6.0151000000000003</v>
      </c>
      <c r="AS35" s="160">
        <v>2.0224000000000002</v>
      </c>
      <c r="AT35" s="160">
        <v>4414</v>
      </c>
      <c r="AU35" s="160"/>
      <c r="AV35" s="160">
        <v>3039</v>
      </c>
      <c r="AW35" s="17">
        <v>8665</v>
      </c>
      <c r="AX35" s="193">
        <v>1.0958000000000001</v>
      </c>
      <c r="AY35" s="160">
        <v>0.34810000000000002</v>
      </c>
      <c r="AZ35" s="160">
        <v>466</v>
      </c>
      <c r="BA35" s="160"/>
      <c r="BB35" s="160">
        <v>299</v>
      </c>
      <c r="BC35" s="194">
        <v>882</v>
      </c>
      <c r="BD35" s="193">
        <v>0.17910000000000001</v>
      </c>
      <c r="BE35" s="160">
        <v>0.1386</v>
      </c>
      <c r="BF35" s="160">
        <v>79</v>
      </c>
      <c r="BG35" s="160"/>
      <c r="BH35" s="160">
        <v>11</v>
      </c>
      <c r="BI35" s="17">
        <v>259</v>
      </c>
      <c r="BJ35" s="193"/>
      <c r="BK35" s="160"/>
      <c r="BL35" s="160"/>
      <c r="BM35" s="160"/>
      <c r="BN35" s="160"/>
      <c r="BO35" s="194"/>
      <c r="BP35" s="193"/>
      <c r="BQ35" s="160"/>
      <c r="BR35" s="160">
        <v>496</v>
      </c>
      <c r="BS35" s="160"/>
      <c r="BT35" s="160">
        <v>338</v>
      </c>
      <c r="BU35" s="17">
        <v>728</v>
      </c>
      <c r="BV35" s="193"/>
      <c r="BW35" s="160"/>
      <c r="BX35" s="160"/>
      <c r="BY35" s="160"/>
      <c r="BZ35" s="160"/>
      <c r="CA35" s="194"/>
      <c r="CB35" s="193"/>
      <c r="CC35" s="160"/>
      <c r="CD35" s="160"/>
      <c r="CE35" s="160"/>
      <c r="CF35" s="160"/>
      <c r="CG35" s="194"/>
    </row>
    <row r="36" spans="1:85" x14ac:dyDescent="0.3">
      <c r="A36" s="17">
        <v>2001</v>
      </c>
      <c r="B36" s="193">
        <v>4.5065</v>
      </c>
      <c r="C36" s="160">
        <v>1.0838000000000001</v>
      </c>
      <c r="D36" s="160">
        <v>3809</v>
      </c>
      <c r="E36" s="208">
        <f>D36/D35</f>
        <v>1.3407250967969024</v>
      </c>
      <c r="F36" s="160">
        <v>2308</v>
      </c>
      <c r="G36" s="194">
        <v>5809</v>
      </c>
      <c r="H36" s="193">
        <v>1.7645</v>
      </c>
      <c r="I36" s="160">
        <v>0.36299999999999999</v>
      </c>
      <c r="J36" s="160">
        <v>2111</v>
      </c>
      <c r="K36" s="208">
        <f>J36/J35</f>
        <v>1.5848348348348349</v>
      </c>
      <c r="L36" s="160">
        <v>1004</v>
      </c>
      <c r="M36" s="17">
        <v>2841</v>
      </c>
      <c r="N36" s="193">
        <v>2.0670999999999999</v>
      </c>
      <c r="O36" s="160">
        <v>0.78149999999999997</v>
      </c>
      <c r="P36" s="160">
        <v>3016</v>
      </c>
      <c r="Q36" s="208">
        <f>P36/P35</f>
        <v>2.0601092896174862</v>
      </c>
      <c r="R36" s="160">
        <v>456</v>
      </c>
      <c r="S36" s="17">
        <v>5240</v>
      </c>
      <c r="T36" s="193">
        <v>1.5059</v>
      </c>
      <c r="U36" s="160">
        <v>0.73680000000000001</v>
      </c>
      <c r="V36" s="160">
        <v>1091</v>
      </c>
      <c r="W36" s="208">
        <f>V36/V35</f>
        <v>1.2258426966292135</v>
      </c>
      <c r="X36" s="160">
        <v>186</v>
      </c>
      <c r="Y36" s="17">
        <v>2254</v>
      </c>
      <c r="Z36" s="193">
        <v>0.69869999999999999</v>
      </c>
      <c r="AA36" s="160">
        <v>0.76970000000000005</v>
      </c>
      <c r="AB36" s="160">
        <v>647</v>
      </c>
      <c r="AC36" s="208">
        <f>AB36/AB35</f>
        <v>1.7922437673130194</v>
      </c>
      <c r="AD36" s="160">
        <v>104</v>
      </c>
      <c r="AE36" s="194">
        <v>2449</v>
      </c>
      <c r="AF36" s="193">
        <v>1.7451000000000001</v>
      </c>
      <c r="AG36" s="160">
        <v>0.43309999999999998</v>
      </c>
      <c r="AH36" s="160">
        <v>1153</v>
      </c>
      <c r="AI36" s="208">
        <f>AH36/AH35</f>
        <v>1.1622983870967742</v>
      </c>
      <c r="AJ36" s="160">
        <v>613</v>
      </c>
      <c r="AK36" s="17">
        <v>1712</v>
      </c>
      <c r="AL36" s="193">
        <v>6.8318000000000003</v>
      </c>
      <c r="AM36" s="160">
        <v>0.98199999999999998</v>
      </c>
      <c r="AN36" s="160">
        <v>6385</v>
      </c>
      <c r="AO36" s="208">
        <f>AN36/AN35</f>
        <v>1.1139218422889043</v>
      </c>
      <c r="AP36" s="160">
        <v>4294</v>
      </c>
      <c r="AQ36" s="194">
        <v>8012</v>
      </c>
      <c r="AR36" s="193">
        <v>4.6345000000000001</v>
      </c>
      <c r="AS36" s="160">
        <v>1.2124999999999999</v>
      </c>
      <c r="AT36" s="160">
        <v>3400</v>
      </c>
      <c r="AU36" s="208">
        <f>AT36/AT35</f>
        <v>0.77027639329406439</v>
      </c>
      <c r="AV36" s="160">
        <v>2431</v>
      </c>
      <c r="AW36" s="17">
        <v>5876</v>
      </c>
      <c r="AX36" s="193">
        <v>1.0596000000000001</v>
      </c>
      <c r="AY36" s="160">
        <v>0.32429999999999998</v>
      </c>
      <c r="AZ36" s="160">
        <v>451</v>
      </c>
      <c r="BA36" s="208">
        <f>AZ36/AZ35</f>
        <v>0.96781115879828328</v>
      </c>
      <c r="BB36" s="160">
        <v>315</v>
      </c>
      <c r="BC36" s="194">
        <v>882</v>
      </c>
      <c r="BD36" s="193">
        <v>0.16639999999999999</v>
      </c>
      <c r="BE36" s="160">
        <v>6.8099999999999994E-2</v>
      </c>
      <c r="BF36" s="160">
        <v>73</v>
      </c>
      <c r="BG36" s="208">
        <f>BF36/BF35</f>
        <v>0.92405063291139244</v>
      </c>
      <c r="BH36" s="160"/>
      <c r="BI36" s="17">
        <v>120</v>
      </c>
      <c r="BJ36" s="193">
        <v>9.8100000000000007E-2</v>
      </c>
      <c r="BK36" s="160">
        <v>0.1331</v>
      </c>
      <c r="BL36" s="160">
        <v>43</v>
      </c>
      <c r="BM36" s="160"/>
      <c r="BN36" s="160"/>
      <c r="BO36" s="194">
        <v>178</v>
      </c>
      <c r="BP36" s="193"/>
      <c r="BQ36" s="160"/>
      <c r="BR36" s="160">
        <v>637</v>
      </c>
      <c r="BS36" s="208">
        <f>BR36/BR35</f>
        <v>1.284274193548387</v>
      </c>
      <c r="BT36" s="160">
        <v>441</v>
      </c>
      <c r="BU36" s="17">
        <v>920</v>
      </c>
      <c r="BV36" s="193"/>
      <c r="BW36" s="160"/>
      <c r="BX36" s="160">
        <v>733</v>
      </c>
      <c r="BY36" s="160"/>
      <c r="BZ36" s="160">
        <v>583</v>
      </c>
      <c r="CA36" s="194">
        <v>922</v>
      </c>
      <c r="CB36" s="193"/>
      <c r="CC36" s="160"/>
      <c r="CD36" s="160">
        <v>661</v>
      </c>
      <c r="CE36" s="160"/>
      <c r="CF36" s="160">
        <v>556</v>
      </c>
      <c r="CG36" s="194">
        <v>786</v>
      </c>
    </row>
    <row r="37" spans="1:85" x14ac:dyDescent="0.3">
      <c r="A37" s="17">
        <v>2002</v>
      </c>
      <c r="B37" s="193">
        <v>7.1923000000000004</v>
      </c>
      <c r="C37" s="160">
        <v>2.4055</v>
      </c>
      <c r="D37" s="160">
        <v>6080</v>
      </c>
      <c r="E37" s="208">
        <f t="shared" ref="E37:E45" si="6">D37/D36</f>
        <v>1.5962194801785246</v>
      </c>
      <c r="F37" s="160">
        <v>2750</v>
      </c>
      <c r="G37" s="194">
        <v>10031</v>
      </c>
      <c r="H37" s="193">
        <v>1.875</v>
      </c>
      <c r="I37" s="160">
        <v>0.47599999999999998</v>
      </c>
      <c r="J37" s="160">
        <v>2222</v>
      </c>
      <c r="K37" s="208">
        <f t="shared" ref="K37:K45" si="7">J37/J36</f>
        <v>1.0525817148270962</v>
      </c>
      <c r="L37" s="160">
        <v>978</v>
      </c>
      <c r="M37" s="17">
        <v>3242</v>
      </c>
      <c r="N37" s="193">
        <v>0.97050000000000003</v>
      </c>
      <c r="O37" s="160">
        <v>0.30099999999999999</v>
      </c>
      <c r="P37" s="160">
        <v>1416</v>
      </c>
      <c r="Q37" s="208">
        <f t="shared" ref="Q37:Q45" si="8">P37/P36</f>
        <v>0.46949602122015915</v>
      </c>
      <c r="R37" s="160">
        <v>560</v>
      </c>
      <c r="S37" s="17">
        <v>2386</v>
      </c>
      <c r="T37" s="193">
        <v>3.1313</v>
      </c>
      <c r="U37" s="160">
        <v>1.0485</v>
      </c>
      <c r="V37" s="160">
        <v>2269</v>
      </c>
      <c r="W37" s="208">
        <f t="shared" ref="W37:W45" si="9">V37/V36</f>
        <v>2.0797433547204398</v>
      </c>
      <c r="X37" s="160">
        <v>397</v>
      </c>
      <c r="Y37" s="17">
        <v>3471</v>
      </c>
      <c r="Z37" s="193">
        <v>0.379</v>
      </c>
      <c r="AA37" s="160">
        <v>0.15110000000000001</v>
      </c>
      <c r="AB37" s="160">
        <v>351</v>
      </c>
      <c r="AC37" s="208">
        <f t="shared" ref="AC37:AC45" si="10">AB37/AB36</f>
        <v>0.54250386398763528</v>
      </c>
      <c r="AD37" s="160">
        <v>0</v>
      </c>
      <c r="AE37" s="194">
        <v>542</v>
      </c>
      <c r="AF37" s="986">
        <v>0.76400000000000001</v>
      </c>
      <c r="AG37" s="986">
        <v>0.27539999999999998</v>
      </c>
      <c r="AH37" s="986">
        <v>505</v>
      </c>
      <c r="AI37" s="208">
        <f t="shared" ref="AI37:AI45" si="11">AH37/AH36</f>
        <v>0.43798785776235905</v>
      </c>
      <c r="AJ37" s="986">
        <v>262</v>
      </c>
      <c r="AK37" s="986">
        <v>991</v>
      </c>
      <c r="AL37" s="986">
        <v>6.1703999999999999</v>
      </c>
      <c r="AM37" s="986">
        <v>1.4637</v>
      </c>
      <c r="AN37" s="986">
        <v>5767</v>
      </c>
      <c r="AO37" s="208">
        <f t="shared" ref="AO37:AO45" si="12">AN37/AN36</f>
        <v>0.90321064996084577</v>
      </c>
      <c r="AP37" s="986">
        <v>3514</v>
      </c>
      <c r="AQ37" s="986">
        <v>9166</v>
      </c>
      <c r="AR37" s="193">
        <v>5.2187999999999999</v>
      </c>
      <c r="AS37" s="160">
        <v>0.76060000000000005</v>
      </c>
      <c r="AT37" s="160">
        <v>3829</v>
      </c>
      <c r="AU37" s="208">
        <f t="shared" ref="AU37:AU45" si="13">AT37/AT36</f>
        <v>1.1261764705882353</v>
      </c>
      <c r="AV37" s="160">
        <v>2641</v>
      </c>
      <c r="AW37" s="17">
        <v>4967</v>
      </c>
      <c r="AX37" s="193">
        <v>2.3188</v>
      </c>
      <c r="AY37" s="160">
        <v>0.71479999999999999</v>
      </c>
      <c r="AZ37" s="160">
        <v>986</v>
      </c>
      <c r="BA37" s="208">
        <f t="shared" ref="BA37:BA45" si="14">AZ37/AZ36</f>
        <v>2.1862527716186251</v>
      </c>
      <c r="BB37" s="160">
        <v>513</v>
      </c>
      <c r="BC37" s="194">
        <v>1689</v>
      </c>
      <c r="BD37" s="193">
        <v>0.5111</v>
      </c>
      <c r="BE37" s="160">
        <v>0.2392</v>
      </c>
      <c r="BF37" s="160">
        <v>225</v>
      </c>
      <c r="BG37" s="208">
        <f t="shared" ref="BG37:BG43" si="15">BF37/BF36</f>
        <v>3.0821917808219177</v>
      </c>
      <c r="BH37" s="160">
        <v>17</v>
      </c>
      <c r="BI37" s="17">
        <v>383</v>
      </c>
      <c r="BJ37" s="193">
        <v>5.4600000000000003E-2</v>
      </c>
      <c r="BK37" s="160">
        <v>3.9100000000000003E-2</v>
      </c>
      <c r="BL37" s="160">
        <v>24</v>
      </c>
      <c r="BM37" s="160">
        <f>BL37/BL36</f>
        <v>0.55813953488372092</v>
      </c>
      <c r="BN37" s="160"/>
      <c r="BO37" s="194">
        <v>56</v>
      </c>
      <c r="BP37" s="193"/>
      <c r="BQ37" s="160"/>
      <c r="BR37" s="986">
        <v>628</v>
      </c>
      <c r="BS37" s="208">
        <f t="shared" ref="BS37:BS44" si="16">BR37/BR36</f>
        <v>0.98587127158555732</v>
      </c>
      <c r="BT37" s="986">
        <v>487</v>
      </c>
      <c r="BU37" s="986">
        <v>809</v>
      </c>
      <c r="BV37" s="193"/>
      <c r="BW37" s="160"/>
      <c r="BX37" s="986">
        <v>729</v>
      </c>
      <c r="BY37" s="986">
        <f>BX37/BX36</f>
        <v>0.99454297407912684</v>
      </c>
      <c r="BZ37" s="986">
        <v>494</v>
      </c>
      <c r="CA37" s="986">
        <v>1075</v>
      </c>
      <c r="CB37" s="193"/>
      <c r="CC37" s="160"/>
      <c r="CD37" s="160">
        <v>683</v>
      </c>
      <c r="CE37" s="160">
        <f>CD37/CD36</f>
        <v>1.0332829046898639</v>
      </c>
      <c r="CF37" s="160">
        <v>561</v>
      </c>
      <c r="CG37" s="194">
        <v>832</v>
      </c>
    </row>
    <row r="38" spans="1:85" x14ac:dyDescent="0.3">
      <c r="A38" s="17">
        <v>2003</v>
      </c>
      <c r="B38" s="193">
        <v>6.6444000000000001</v>
      </c>
      <c r="C38" s="160">
        <v>1.5602</v>
      </c>
      <c r="D38" s="160">
        <v>5617</v>
      </c>
      <c r="E38" s="208">
        <f t="shared" si="6"/>
        <v>0.92384868421052635</v>
      </c>
      <c r="F38" s="160">
        <v>3466</v>
      </c>
      <c r="G38" s="194">
        <v>8175</v>
      </c>
      <c r="H38" s="193">
        <v>1.4409000000000001</v>
      </c>
      <c r="I38" s="160">
        <v>0.46710000000000002</v>
      </c>
      <c r="J38" s="160">
        <v>1721</v>
      </c>
      <c r="K38" s="208">
        <f t="shared" si="7"/>
        <v>0.77452745274527457</v>
      </c>
      <c r="L38" s="160">
        <v>916</v>
      </c>
      <c r="M38" s="17">
        <v>2766</v>
      </c>
      <c r="N38" s="193">
        <v>0.79279999999999995</v>
      </c>
      <c r="O38" s="160">
        <v>0.26590000000000003</v>
      </c>
      <c r="P38" s="160">
        <v>1156</v>
      </c>
      <c r="Q38" s="208">
        <f t="shared" si="8"/>
        <v>0.81638418079096042</v>
      </c>
      <c r="R38" s="160">
        <v>232</v>
      </c>
      <c r="S38" s="17">
        <v>1932</v>
      </c>
      <c r="T38" s="193">
        <v>2.5615000000000001</v>
      </c>
      <c r="U38" s="160">
        <v>0.73740000000000006</v>
      </c>
      <c r="V38" s="160">
        <v>1856</v>
      </c>
      <c r="W38" s="208">
        <f t="shared" si="9"/>
        <v>0.81798148964301454</v>
      </c>
      <c r="X38" s="160">
        <v>1073</v>
      </c>
      <c r="Y38" s="17">
        <v>3168</v>
      </c>
      <c r="Z38" s="193">
        <v>1.5744</v>
      </c>
      <c r="AA38" s="160">
        <v>0.58389999999999997</v>
      </c>
      <c r="AB38" s="160">
        <v>1458</v>
      </c>
      <c r="AC38" s="208">
        <f t="shared" si="10"/>
        <v>4.1538461538461542</v>
      </c>
      <c r="AD38" s="160">
        <v>521</v>
      </c>
      <c r="AE38" s="194">
        <v>2355</v>
      </c>
      <c r="AF38" s="193">
        <v>1.1911</v>
      </c>
      <c r="AG38" s="160">
        <v>0.27929999999999999</v>
      </c>
      <c r="AH38" s="160">
        <v>787</v>
      </c>
      <c r="AI38" s="208">
        <f t="shared" si="11"/>
        <v>1.5584158415841585</v>
      </c>
      <c r="AJ38" s="160">
        <v>492</v>
      </c>
      <c r="AK38" s="17">
        <v>1167</v>
      </c>
      <c r="AL38" s="193">
        <v>5.4345999999999997</v>
      </c>
      <c r="AM38" s="160">
        <v>0.96179999999999999</v>
      </c>
      <c r="AN38" s="160">
        <v>5079</v>
      </c>
      <c r="AO38" s="208">
        <f t="shared" si="12"/>
        <v>0.8807005375411826</v>
      </c>
      <c r="AP38" s="160">
        <v>3237</v>
      </c>
      <c r="AQ38" s="194">
        <v>6637</v>
      </c>
      <c r="AR38" s="193">
        <v>5.0236999999999998</v>
      </c>
      <c r="AS38" s="160">
        <v>1.0273000000000001</v>
      </c>
      <c r="AT38" s="160">
        <v>3686</v>
      </c>
      <c r="AU38" s="208">
        <f t="shared" si="13"/>
        <v>0.96265343431705408</v>
      </c>
      <c r="AV38" s="160">
        <v>2596</v>
      </c>
      <c r="AW38" s="17">
        <v>5655</v>
      </c>
      <c r="AX38" s="193">
        <v>1.9006000000000001</v>
      </c>
      <c r="AY38" s="160">
        <v>0.53110000000000002</v>
      </c>
      <c r="AZ38" s="160">
        <v>809</v>
      </c>
      <c r="BA38" s="208">
        <f t="shared" si="14"/>
        <v>0.82048681541582147</v>
      </c>
      <c r="BB38" s="160">
        <v>567</v>
      </c>
      <c r="BC38" s="194">
        <v>1487</v>
      </c>
      <c r="BD38" s="193">
        <v>0.10920000000000001</v>
      </c>
      <c r="BE38" s="160">
        <v>6.9699999999999998E-2</v>
      </c>
      <c r="BF38" s="160">
        <v>48</v>
      </c>
      <c r="BG38" s="208">
        <f t="shared" si="15"/>
        <v>0.21333333333333335</v>
      </c>
      <c r="BH38" s="160"/>
      <c r="BI38" s="17">
        <v>88</v>
      </c>
      <c r="BJ38" s="193"/>
      <c r="BK38" s="160"/>
      <c r="BL38" s="160"/>
      <c r="BM38" s="160"/>
      <c r="BN38" s="160"/>
      <c r="BO38" s="194"/>
      <c r="BP38" s="193"/>
      <c r="BQ38" s="160"/>
      <c r="BR38" s="160">
        <v>615</v>
      </c>
      <c r="BS38" s="208">
        <f t="shared" si="16"/>
        <v>0.97929936305732479</v>
      </c>
      <c r="BT38" s="160">
        <v>463</v>
      </c>
      <c r="BU38" s="17">
        <v>815</v>
      </c>
      <c r="BV38" s="193"/>
      <c r="BW38" s="160"/>
      <c r="BX38" s="160">
        <v>782</v>
      </c>
      <c r="BY38" s="986">
        <f>BX38/BX37</f>
        <v>1.0727023319615911</v>
      </c>
      <c r="BZ38" s="160">
        <v>570</v>
      </c>
      <c r="CA38" s="194">
        <v>1074</v>
      </c>
      <c r="CB38" s="193"/>
      <c r="CC38" s="160"/>
      <c r="CD38" s="160">
        <v>699</v>
      </c>
      <c r="CE38" s="160">
        <f>CD38/CD37</f>
        <v>1.0234260614934114</v>
      </c>
      <c r="CF38" s="160">
        <v>567</v>
      </c>
      <c r="CG38" s="194">
        <v>860</v>
      </c>
    </row>
    <row r="39" spans="1:85" x14ac:dyDescent="0.3">
      <c r="A39" s="17">
        <v>2004</v>
      </c>
      <c r="B39" s="193">
        <v>3.8334000000000001</v>
      </c>
      <c r="C39" s="160">
        <v>1.1202000000000001</v>
      </c>
      <c r="D39" s="160">
        <v>3241</v>
      </c>
      <c r="E39" s="208">
        <f t="shared" si="6"/>
        <v>0.57699839772120354</v>
      </c>
      <c r="F39" s="160">
        <v>1368</v>
      </c>
      <c r="G39" s="194">
        <v>4876</v>
      </c>
      <c r="H39" s="193">
        <v>1.5198</v>
      </c>
      <c r="I39" s="160">
        <v>0.37290000000000001</v>
      </c>
      <c r="J39" s="160">
        <v>1816</v>
      </c>
      <c r="K39" s="208">
        <f t="shared" si="7"/>
        <v>1.0552004648460198</v>
      </c>
      <c r="L39" s="160">
        <v>1056</v>
      </c>
      <c r="M39" s="17">
        <v>2777</v>
      </c>
      <c r="N39" s="193">
        <v>0.28599999999999998</v>
      </c>
      <c r="O39" s="160">
        <v>0.16919999999999999</v>
      </c>
      <c r="P39" s="160">
        <v>417</v>
      </c>
      <c r="Q39" s="208">
        <f t="shared" si="8"/>
        <v>0.36072664359861589</v>
      </c>
      <c r="R39" s="160">
        <v>0</v>
      </c>
      <c r="S39" s="17">
        <v>721</v>
      </c>
      <c r="T39" s="193">
        <v>3.4367000000000001</v>
      </c>
      <c r="U39" s="160">
        <v>1.1146</v>
      </c>
      <c r="V39" s="160">
        <v>2490</v>
      </c>
      <c r="W39" s="208">
        <f t="shared" si="9"/>
        <v>1.3415948275862069</v>
      </c>
      <c r="X39" s="160">
        <v>1236</v>
      </c>
      <c r="Y39" s="17">
        <v>4000</v>
      </c>
      <c r="Z39" s="193">
        <v>0.62809999999999999</v>
      </c>
      <c r="AA39" s="160">
        <v>0.157</v>
      </c>
      <c r="AB39" s="160">
        <v>582</v>
      </c>
      <c r="AC39" s="208">
        <f t="shared" si="10"/>
        <v>0.3991769547325103</v>
      </c>
      <c r="AD39" s="160">
        <v>330</v>
      </c>
      <c r="AE39" s="194">
        <v>864</v>
      </c>
      <c r="AF39" s="193">
        <v>1.7064999999999999</v>
      </c>
      <c r="AG39" s="160">
        <v>0.31330000000000002</v>
      </c>
      <c r="AH39" s="160">
        <v>1128</v>
      </c>
      <c r="AI39" s="208">
        <f t="shared" si="11"/>
        <v>1.4332909783989836</v>
      </c>
      <c r="AJ39" s="160">
        <v>706</v>
      </c>
      <c r="AK39" s="17">
        <v>1599</v>
      </c>
      <c r="AL39" s="193">
        <v>7.1191000000000004</v>
      </c>
      <c r="AM39" s="160">
        <v>0.98080000000000001</v>
      </c>
      <c r="AN39" s="160">
        <v>6653</v>
      </c>
      <c r="AO39" s="208">
        <f t="shared" si="12"/>
        <v>1.3099035243158101</v>
      </c>
      <c r="AP39" s="160">
        <v>4833</v>
      </c>
      <c r="AQ39" s="194">
        <v>8443</v>
      </c>
      <c r="AR39" s="193">
        <v>5.3305999999999996</v>
      </c>
      <c r="AS39" s="160">
        <v>1.8616999999999999</v>
      </c>
      <c r="AT39" s="160">
        <v>3911</v>
      </c>
      <c r="AU39" s="208">
        <f t="shared" si="13"/>
        <v>1.0610417797069995</v>
      </c>
      <c r="AV39" s="160">
        <v>2638</v>
      </c>
      <c r="AW39" s="17">
        <v>7868</v>
      </c>
      <c r="AX39" s="193">
        <v>2.4470999999999998</v>
      </c>
      <c r="AY39" s="160">
        <v>1.1236999999999999</v>
      </c>
      <c r="AZ39" s="160">
        <v>1041</v>
      </c>
      <c r="BA39" s="208">
        <f t="shared" si="14"/>
        <v>1.2867737948084055</v>
      </c>
      <c r="BB39" s="160">
        <v>585</v>
      </c>
      <c r="BC39" s="194">
        <v>2515</v>
      </c>
      <c r="BD39" s="193">
        <v>9.1499999999999998E-2</v>
      </c>
      <c r="BE39" s="160">
        <v>5.62E-2</v>
      </c>
      <c r="BF39" s="160">
        <v>40</v>
      </c>
      <c r="BG39" s="208">
        <f t="shared" si="15"/>
        <v>0.83333333333333337</v>
      </c>
      <c r="BH39" s="160"/>
      <c r="BI39" s="17">
        <v>98</v>
      </c>
      <c r="BJ39" s="193">
        <v>0.1074</v>
      </c>
      <c r="BK39" s="160">
        <v>0.1002</v>
      </c>
      <c r="BL39" s="160">
        <v>47</v>
      </c>
      <c r="BM39" s="160"/>
      <c r="BN39" s="160"/>
      <c r="BO39" s="194">
        <v>136</v>
      </c>
      <c r="BP39" s="193"/>
      <c r="BQ39" s="160"/>
      <c r="BR39" s="160"/>
      <c r="BS39" s="208"/>
      <c r="BT39" s="160"/>
      <c r="BU39" s="17"/>
      <c r="BV39" s="193"/>
      <c r="BW39" s="160"/>
      <c r="BX39" s="160"/>
      <c r="BY39" s="160"/>
      <c r="BZ39" s="160"/>
      <c r="CA39" s="194"/>
      <c r="CB39" s="193"/>
      <c r="CC39" s="160"/>
      <c r="CD39" s="160"/>
      <c r="CE39" s="160"/>
      <c r="CF39" s="160"/>
      <c r="CG39" s="194"/>
    </row>
    <row r="40" spans="1:85" x14ac:dyDescent="0.3">
      <c r="A40" s="17">
        <v>2005</v>
      </c>
      <c r="B40" s="193">
        <v>2.5013999999999998</v>
      </c>
      <c r="C40" s="160">
        <v>0.95069999999999999</v>
      </c>
      <c r="D40" s="160">
        <v>2114</v>
      </c>
      <c r="E40" s="208">
        <f t="shared" si="6"/>
        <v>0.65226781857451399</v>
      </c>
      <c r="F40" s="160">
        <v>675</v>
      </c>
      <c r="G40" s="194">
        <v>3631</v>
      </c>
      <c r="H40" s="193">
        <v>2.4255</v>
      </c>
      <c r="I40" s="160">
        <v>0.65229999999999999</v>
      </c>
      <c r="J40" s="160">
        <v>2895</v>
      </c>
      <c r="K40" s="208">
        <f t="shared" si="7"/>
        <v>1.5941629955947136</v>
      </c>
      <c r="L40" s="160">
        <v>1145</v>
      </c>
      <c r="M40" s="17">
        <v>4328</v>
      </c>
      <c r="N40" s="193">
        <v>2.0209000000000001</v>
      </c>
      <c r="O40" s="160">
        <v>0.63360000000000005</v>
      </c>
      <c r="P40" s="160">
        <v>2947</v>
      </c>
      <c r="Q40" s="208">
        <f t="shared" si="8"/>
        <v>7.0671462829736207</v>
      </c>
      <c r="R40" s="160">
        <v>1228</v>
      </c>
      <c r="S40" s="17">
        <v>5009</v>
      </c>
      <c r="T40" s="193">
        <v>2.7282999999999999</v>
      </c>
      <c r="U40" s="160">
        <v>0.4965</v>
      </c>
      <c r="V40" s="160">
        <v>1977</v>
      </c>
      <c r="W40" s="208">
        <f t="shared" si="9"/>
        <v>0.7939759036144578</v>
      </c>
      <c r="X40" s="160">
        <v>1212</v>
      </c>
      <c r="Y40" s="17">
        <v>2641</v>
      </c>
      <c r="Z40" s="193">
        <v>0.55679999999999996</v>
      </c>
      <c r="AA40" s="160">
        <v>0.3579</v>
      </c>
      <c r="AB40" s="160">
        <v>516</v>
      </c>
      <c r="AC40" s="208">
        <f t="shared" si="10"/>
        <v>0.88659793814432986</v>
      </c>
      <c r="AD40" s="160">
        <v>146</v>
      </c>
      <c r="AE40" s="194">
        <v>1552</v>
      </c>
      <c r="AF40" s="193">
        <v>0.81230000000000002</v>
      </c>
      <c r="AG40" s="160">
        <v>0.25940000000000002</v>
      </c>
      <c r="AH40" s="160">
        <v>537</v>
      </c>
      <c r="AI40" s="208">
        <f t="shared" si="11"/>
        <v>0.47606382978723405</v>
      </c>
      <c r="AJ40" s="160">
        <v>273</v>
      </c>
      <c r="AK40" s="17">
        <v>943</v>
      </c>
      <c r="AL40" s="193">
        <v>5.6779999999999999</v>
      </c>
      <c r="AM40" s="160">
        <v>0.97150000000000003</v>
      </c>
      <c r="AN40" s="160">
        <v>5306</v>
      </c>
      <c r="AO40" s="208">
        <f t="shared" si="12"/>
        <v>0.79753494664061331</v>
      </c>
      <c r="AP40" s="160">
        <v>3170</v>
      </c>
      <c r="AQ40" s="194">
        <v>6703</v>
      </c>
      <c r="AR40" s="193">
        <v>4.4523999999999999</v>
      </c>
      <c r="AS40" s="160">
        <v>1.1174999999999999</v>
      </c>
      <c r="AT40" s="160">
        <v>3267</v>
      </c>
      <c r="AU40" s="208">
        <f t="shared" si="13"/>
        <v>0.83533623114293021</v>
      </c>
      <c r="AV40" s="160">
        <v>2249</v>
      </c>
      <c r="AW40" s="17">
        <v>5407</v>
      </c>
      <c r="AX40" s="193">
        <v>0.88270000000000004</v>
      </c>
      <c r="AY40" s="160">
        <v>0.37619999999999998</v>
      </c>
      <c r="AZ40" s="160">
        <v>376</v>
      </c>
      <c r="BA40" s="208">
        <f t="shared" si="14"/>
        <v>0.36119116234390009</v>
      </c>
      <c r="BB40" s="160">
        <v>242</v>
      </c>
      <c r="BC40" s="194">
        <v>881</v>
      </c>
      <c r="BD40" s="193">
        <v>0.27329999999999999</v>
      </c>
      <c r="BE40" s="160">
        <v>0.1201</v>
      </c>
      <c r="BF40" s="160">
        <v>121</v>
      </c>
      <c r="BG40" s="208">
        <f t="shared" si="15"/>
        <v>3.0249999999999999</v>
      </c>
      <c r="BH40" s="160"/>
      <c r="BI40" s="17">
        <v>217</v>
      </c>
      <c r="BJ40" s="193">
        <v>0.38069999999999998</v>
      </c>
      <c r="BK40" s="160">
        <v>0.1482</v>
      </c>
      <c r="BL40" s="160">
        <v>168</v>
      </c>
      <c r="BM40" s="160">
        <f>BL40/BL39</f>
        <v>3.5744680851063828</v>
      </c>
      <c r="BN40" s="160">
        <v>71</v>
      </c>
      <c r="BO40" s="194">
        <v>300</v>
      </c>
      <c r="BP40" s="193"/>
      <c r="BQ40" s="160"/>
      <c r="BR40" s="160"/>
      <c r="BS40" s="208"/>
      <c r="BT40" s="160"/>
      <c r="BU40" s="17"/>
      <c r="BV40" s="193"/>
      <c r="BW40" s="160"/>
      <c r="BX40" s="160"/>
      <c r="BY40" s="160"/>
      <c r="BZ40" s="160"/>
      <c r="CA40" s="194"/>
      <c r="CB40" s="193"/>
      <c r="CC40" s="160"/>
      <c r="CD40" s="160"/>
      <c r="CE40" s="160"/>
      <c r="CF40" s="160"/>
      <c r="CG40" s="194"/>
    </row>
    <row r="41" spans="1:85" x14ac:dyDescent="0.3">
      <c r="A41" s="17">
        <v>2006</v>
      </c>
      <c r="B41" s="193">
        <v>2.7603</v>
      </c>
      <c r="C41" s="160">
        <v>0.42730000000000001</v>
      </c>
      <c r="D41" s="160">
        <v>2333</v>
      </c>
      <c r="E41" s="208">
        <f t="shared" si="6"/>
        <v>1.1035950804162724</v>
      </c>
      <c r="F41" s="160">
        <v>1623</v>
      </c>
      <c r="G41" s="194">
        <v>3129</v>
      </c>
      <c r="H41" s="193">
        <v>1.4182999999999999</v>
      </c>
      <c r="I41" s="160">
        <v>0.37369999999999998</v>
      </c>
      <c r="J41" s="160">
        <v>1693</v>
      </c>
      <c r="K41" s="208">
        <f t="shared" si="7"/>
        <v>0.58480138169257345</v>
      </c>
      <c r="L41" s="160">
        <v>756</v>
      </c>
      <c r="M41" s="17">
        <v>2493</v>
      </c>
      <c r="N41" s="193">
        <v>1.2843</v>
      </c>
      <c r="O41" s="160">
        <v>0.50609999999999999</v>
      </c>
      <c r="P41" s="160">
        <v>1873</v>
      </c>
      <c r="Q41" s="208">
        <f t="shared" si="8"/>
        <v>0.63556158805564977</v>
      </c>
      <c r="R41" s="160">
        <v>514</v>
      </c>
      <c r="S41" s="17">
        <v>3488</v>
      </c>
      <c r="T41" s="193">
        <v>2.2608000000000001</v>
      </c>
      <c r="U41" s="160">
        <v>0.47739999999999999</v>
      </c>
      <c r="V41" s="160">
        <v>1638</v>
      </c>
      <c r="W41" s="208">
        <f t="shared" si="9"/>
        <v>0.82852807283763275</v>
      </c>
      <c r="X41" s="160">
        <v>1009</v>
      </c>
      <c r="Y41" s="17">
        <v>2413</v>
      </c>
      <c r="Z41" s="193">
        <v>0.80249999999999999</v>
      </c>
      <c r="AA41" s="160">
        <v>0.2782</v>
      </c>
      <c r="AB41" s="160">
        <v>743</v>
      </c>
      <c r="AC41" s="208">
        <f t="shared" si="10"/>
        <v>1.4399224806201549</v>
      </c>
      <c r="AD41" s="160">
        <v>364</v>
      </c>
      <c r="AE41" s="194">
        <v>1355</v>
      </c>
      <c r="AF41" s="193">
        <v>1.0822000000000001</v>
      </c>
      <c r="AG41" s="160">
        <v>0.31929999999999997</v>
      </c>
      <c r="AH41" s="160">
        <v>715</v>
      </c>
      <c r="AI41" s="208">
        <f t="shared" si="11"/>
        <v>1.3314711359404097</v>
      </c>
      <c r="AJ41" s="160">
        <v>335</v>
      </c>
      <c r="AK41" s="17">
        <v>1174</v>
      </c>
      <c r="AL41" s="193">
        <v>6.0557999999999996</v>
      </c>
      <c r="AM41" s="160">
        <v>0.77969999999999995</v>
      </c>
      <c r="AN41" s="160">
        <v>5659</v>
      </c>
      <c r="AO41" s="208">
        <f t="shared" si="12"/>
        <v>1.0665284583490389</v>
      </c>
      <c r="AP41" s="160">
        <v>3927</v>
      </c>
      <c r="AQ41" s="194">
        <v>6707</v>
      </c>
      <c r="AR41" s="193">
        <v>4.8399000000000001</v>
      </c>
      <c r="AS41" s="160">
        <v>0.75880000000000003</v>
      </c>
      <c r="AT41" s="160">
        <v>6551</v>
      </c>
      <c r="AU41" s="208">
        <f t="shared" si="13"/>
        <v>2.0052035506580963</v>
      </c>
      <c r="AV41" s="160">
        <v>2735</v>
      </c>
      <c r="AW41" s="17">
        <v>4904</v>
      </c>
      <c r="AX41" s="193">
        <v>0.97889999999999999</v>
      </c>
      <c r="AY41" s="160">
        <v>0.4677</v>
      </c>
      <c r="AZ41" s="160">
        <v>416</v>
      </c>
      <c r="BA41" s="208">
        <f t="shared" si="14"/>
        <v>1.1063829787234043</v>
      </c>
      <c r="BB41" s="160">
        <v>215</v>
      </c>
      <c r="BC41" s="194">
        <v>980</v>
      </c>
      <c r="BD41" s="193"/>
      <c r="BE41" s="160"/>
      <c r="BF41" s="160"/>
      <c r="BG41" s="208"/>
      <c r="BH41" s="160"/>
      <c r="BI41" s="17"/>
      <c r="BJ41" s="193"/>
      <c r="BK41" s="160"/>
      <c r="BL41" s="160"/>
      <c r="BM41" s="160"/>
      <c r="BN41" s="160"/>
      <c r="BO41" s="194"/>
      <c r="BP41" s="193"/>
      <c r="BQ41" s="160"/>
      <c r="BR41" s="160"/>
      <c r="BS41" s="208"/>
      <c r="BT41" s="160"/>
      <c r="BU41" s="17"/>
      <c r="BV41" s="193"/>
      <c r="BW41" s="160"/>
      <c r="BX41" s="160"/>
      <c r="BY41" s="160"/>
      <c r="BZ41" s="160"/>
      <c r="CA41" s="194"/>
      <c r="CB41" s="193"/>
      <c r="CC41" s="160"/>
      <c r="CD41" s="160"/>
      <c r="CE41" s="160"/>
      <c r="CF41" s="160"/>
      <c r="CG41" s="194"/>
    </row>
    <row r="42" spans="1:85" x14ac:dyDescent="0.3">
      <c r="A42" s="17">
        <v>2007</v>
      </c>
      <c r="B42" s="193">
        <v>3.4449999999999998</v>
      </c>
      <c r="C42" s="160">
        <v>0.93440000000000001</v>
      </c>
      <c r="D42" s="160">
        <v>2912</v>
      </c>
      <c r="E42" s="208">
        <f t="shared" si="6"/>
        <v>1.2481783111873124</v>
      </c>
      <c r="F42" s="160">
        <v>1047</v>
      </c>
      <c r="G42" s="194">
        <v>4347</v>
      </c>
      <c r="H42" s="193">
        <v>1.2176</v>
      </c>
      <c r="I42" s="160">
        <v>0.2586</v>
      </c>
      <c r="J42" s="160">
        <v>1453</v>
      </c>
      <c r="K42" s="208">
        <f t="shared" si="7"/>
        <v>0.85823981098641466</v>
      </c>
      <c r="L42" s="160">
        <v>764</v>
      </c>
      <c r="M42" s="17">
        <v>1994</v>
      </c>
      <c r="N42" s="193">
        <v>1.7964</v>
      </c>
      <c r="O42" s="160">
        <v>0.86509999999999998</v>
      </c>
      <c r="P42" s="160">
        <v>2620</v>
      </c>
      <c r="Q42" s="208">
        <f t="shared" si="8"/>
        <v>1.3988254137746929</v>
      </c>
      <c r="R42" s="160">
        <v>234</v>
      </c>
      <c r="S42" s="17">
        <v>5315</v>
      </c>
      <c r="T42" s="193">
        <v>2.8382999999999998</v>
      </c>
      <c r="U42" s="160">
        <v>0.91869999999999996</v>
      </c>
      <c r="V42" s="160">
        <v>2056</v>
      </c>
      <c r="W42" s="208">
        <f t="shared" si="9"/>
        <v>1.2551892551892552</v>
      </c>
      <c r="X42" s="160">
        <v>885</v>
      </c>
      <c r="Y42" s="17">
        <v>3341</v>
      </c>
      <c r="Z42" s="193">
        <v>0.50639999999999996</v>
      </c>
      <c r="AA42" s="160">
        <v>0.13089999999999999</v>
      </c>
      <c r="AB42" s="160">
        <v>469</v>
      </c>
      <c r="AC42" s="208">
        <f t="shared" si="10"/>
        <v>0.6312247644683715</v>
      </c>
      <c r="AD42" s="160">
        <v>240</v>
      </c>
      <c r="AE42" s="194">
        <v>664</v>
      </c>
      <c r="AF42" s="193">
        <v>0.51949999999999996</v>
      </c>
      <c r="AG42" s="160">
        <v>0.29759999999999998</v>
      </c>
      <c r="AH42" s="160">
        <v>343</v>
      </c>
      <c r="AI42" s="208">
        <f t="shared" si="11"/>
        <v>0.4797202797202797</v>
      </c>
      <c r="AJ42" s="160">
        <v>21</v>
      </c>
      <c r="AK42" s="17">
        <v>698</v>
      </c>
      <c r="AL42" s="193">
        <v>3.9087000000000001</v>
      </c>
      <c r="AM42" s="160">
        <v>0.82909999999999995</v>
      </c>
      <c r="AN42" s="160">
        <v>3652</v>
      </c>
      <c r="AO42" s="208">
        <f t="shared" si="12"/>
        <v>0.64534370030040644</v>
      </c>
      <c r="AP42" s="160">
        <v>2459</v>
      </c>
      <c r="AQ42" s="194">
        <v>5555</v>
      </c>
      <c r="AR42" s="193">
        <v>4.7854999999999999</v>
      </c>
      <c r="AS42" s="160">
        <v>1.7733000000000001</v>
      </c>
      <c r="AT42" s="160">
        <v>3511</v>
      </c>
      <c r="AU42" s="208">
        <f t="shared" si="13"/>
        <v>0.53594871012059231</v>
      </c>
      <c r="AV42" s="160">
        <v>2401</v>
      </c>
      <c r="AW42" s="17">
        <v>7026</v>
      </c>
      <c r="AX42" s="193">
        <v>0.65710000000000002</v>
      </c>
      <c r="AY42" s="160">
        <v>0.23810000000000001</v>
      </c>
      <c r="AZ42" s="160">
        <v>280</v>
      </c>
      <c r="BA42" s="208">
        <f t="shared" si="14"/>
        <v>0.67307692307692313</v>
      </c>
      <c r="BB42" s="160">
        <v>145</v>
      </c>
      <c r="BC42" s="194">
        <v>528</v>
      </c>
      <c r="BD42" s="193">
        <v>0.1303</v>
      </c>
      <c r="BE42" s="160">
        <v>4.7699999999999999E-2</v>
      </c>
      <c r="BF42" s="160">
        <v>57</v>
      </c>
      <c r="BG42" s="208"/>
      <c r="BH42" s="160">
        <v>26</v>
      </c>
      <c r="BI42" s="17">
        <v>105</v>
      </c>
      <c r="BJ42" s="193"/>
      <c r="BK42" s="160"/>
      <c r="BL42" s="160"/>
      <c r="BM42" s="160"/>
      <c r="BN42" s="160"/>
      <c r="BO42" s="194"/>
      <c r="BP42" s="193"/>
      <c r="BQ42" s="160"/>
      <c r="BR42" s="160">
        <v>269</v>
      </c>
      <c r="BS42" s="208"/>
      <c r="BT42" s="160">
        <v>109</v>
      </c>
      <c r="BU42" s="17">
        <v>429</v>
      </c>
      <c r="BV42" s="193"/>
      <c r="BW42" s="160"/>
      <c r="BX42" s="160">
        <v>488</v>
      </c>
      <c r="BY42" s="160"/>
      <c r="BZ42" s="160">
        <v>349</v>
      </c>
      <c r="CA42" s="194">
        <v>626</v>
      </c>
      <c r="CB42" s="193"/>
      <c r="CC42" s="160"/>
      <c r="CD42" s="160">
        <v>378</v>
      </c>
      <c r="CE42" s="160"/>
      <c r="CF42" s="160">
        <v>238</v>
      </c>
      <c r="CG42" s="194">
        <v>518</v>
      </c>
    </row>
    <row r="43" spans="1:85" x14ac:dyDescent="0.3">
      <c r="A43" s="17">
        <v>2008</v>
      </c>
      <c r="B43" s="193">
        <v>3.5722999999999998</v>
      </c>
      <c r="C43" s="160">
        <v>0.86250000000000004</v>
      </c>
      <c r="D43" s="160">
        <v>3019</v>
      </c>
      <c r="E43" s="208">
        <f t="shared" si="6"/>
        <v>1.0367445054945055</v>
      </c>
      <c r="F43" s="160">
        <v>1586</v>
      </c>
      <c r="G43" s="194">
        <v>4339</v>
      </c>
      <c r="H43" s="193">
        <v>0.89890000000000003</v>
      </c>
      <c r="I43" s="160">
        <v>0.2447</v>
      </c>
      <c r="J43" s="160">
        <v>1073</v>
      </c>
      <c r="K43" s="208">
        <f t="shared" si="7"/>
        <v>0.7384721266345492</v>
      </c>
      <c r="L43" s="160">
        <v>571</v>
      </c>
      <c r="M43" s="17">
        <v>1631</v>
      </c>
      <c r="N43" s="193">
        <v>0.41599999999999998</v>
      </c>
      <c r="O43" s="160">
        <v>0.12939999999999999</v>
      </c>
      <c r="P43" s="160">
        <v>607</v>
      </c>
      <c r="Q43" s="208">
        <f t="shared" si="8"/>
        <v>0.2316793893129771</v>
      </c>
      <c r="R43" s="160">
        <v>227</v>
      </c>
      <c r="S43" s="17">
        <v>953</v>
      </c>
      <c r="T43" s="193">
        <v>2.6042000000000001</v>
      </c>
      <c r="U43" s="160">
        <v>0.55969999999999998</v>
      </c>
      <c r="V43" s="160">
        <v>1887</v>
      </c>
      <c r="W43" s="208">
        <f t="shared" si="9"/>
        <v>0.91780155642023342</v>
      </c>
      <c r="X43" s="160">
        <v>1146</v>
      </c>
      <c r="Y43" s="17">
        <v>2781</v>
      </c>
      <c r="Z43" s="193">
        <v>6.25E-2</v>
      </c>
      <c r="AA43" s="160">
        <v>2.93E-2</v>
      </c>
      <c r="AB43" s="160">
        <v>58</v>
      </c>
      <c r="AC43" s="208">
        <f t="shared" si="10"/>
        <v>0.12366737739872068</v>
      </c>
      <c r="AD43" s="160">
        <v>0</v>
      </c>
      <c r="AE43" s="194">
        <v>118</v>
      </c>
      <c r="AF43" s="193">
        <v>0.34639999999999999</v>
      </c>
      <c r="AG43" s="160">
        <v>9.6000000000000002E-2</v>
      </c>
      <c r="AH43" s="160">
        <v>229</v>
      </c>
      <c r="AI43" s="208">
        <f t="shared" si="11"/>
        <v>0.66763848396501457</v>
      </c>
      <c r="AJ43" s="160">
        <v>106</v>
      </c>
      <c r="AK43" s="17">
        <v>350</v>
      </c>
      <c r="AL43" s="193">
        <v>6.3640999999999996</v>
      </c>
      <c r="AM43" s="160">
        <v>1.0149999999999999</v>
      </c>
      <c r="AN43" s="160">
        <v>5948</v>
      </c>
      <c r="AO43" s="208">
        <f t="shared" si="12"/>
        <v>1.6286966046002191</v>
      </c>
      <c r="AP43" s="160">
        <v>3876</v>
      </c>
      <c r="AQ43" s="194">
        <v>7658</v>
      </c>
      <c r="AR43" s="193">
        <v>5.8688000000000002</v>
      </c>
      <c r="AS43" s="160">
        <v>1.2541</v>
      </c>
      <c r="AT43" s="160">
        <v>4306</v>
      </c>
      <c r="AU43" s="208">
        <f t="shared" si="13"/>
        <v>1.2264312161777271</v>
      </c>
      <c r="AV43" s="160">
        <v>3115</v>
      </c>
      <c r="AW43" s="17">
        <v>6600</v>
      </c>
      <c r="AX43" s="193">
        <v>1.2790999999999999</v>
      </c>
      <c r="AY43" s="160">
        <v>0.53510000000000002</v>
      </c>
      <c r="AZ43" s="160">
        <v>544</v>
      </c>
      <c r="BA43" s="208">
        <f t="shared" si="14"/>
        <v>1.9428571428571428</v>
      </c>
      <c r="BB43" s="160">
        <v>304</v>
      </c>
      <c r="BC43" s="194">
        <v>1165</v>
      </c>
      <c r="BD43" s="193">
        <v>0.1173</v>
      </c>
      <c r="BE43" s="160">
        <v>7.6600000000000001E-2</v>
      </c>
      <c r="BF43" s="160">
        <v>52</v>
      </c>
      <c r="BG43" s="208">
        <f t="shared" si="15"/>
        <v>0.91228070175438591</v>
      </c>
      <c r="BH43" s="160"/>
      <c r="BI43" s="17">
        <v>159</v>
      </c>
      <c r="BJ43" s="193">
        <v>0.15720000000000001</v>
      </c>
      <c r="BK43" s="160">
        <v>0.1157</v>
      </c>
      <c r="BL43" s="160">
        <v>69</v>
      </c>
      <c r="BM43" s="160"/>
      <c r="BN43" s="160"/>
      <c r="BO43" s="194">
        <v>127</v>
      </c>
      <c r="BP43" s="193"/>
      <c r="BQ43" s="160"/>
      <c r="BR43" s="160">
        <v>122</v>
      </c>
      <c r="BS43" s="208">
        <f t="shared" si="16"/>
        <v>0.45353159851301117</v>
      </c>
      <c r="BT43" s="160">
        <v>61</v>
      </c>
      <c r="BU43" s="17">
        <v>184</v>
      </c>
      <c r="BV43" s="193"/>
      <c r="BW43" s="160"/>
      <c r="BX43" s="160">
        <v>225</v>
      </c>
      <c r="BY43" s="160">
        <f>BX43/BX42</f>
        <v>0.46106557377049179</v>
      </c>
      <c r="BZ43" s="160">
        <v>131</v>
      </c>
      <c r="CA43" s="194">
        <v>319</v>
      </c>
      <c r="CB43" s="193"/>
      <c r="CC43" s="160"/>
      <c r="CD43" s="160">
        <v>174</v>
      </c>
      <c r="CE43" s="160">
        <f>CD43/CD42</f>
        <v>0.46031746031746029</v>
      </c>
      <c r="CF43" s="160">
        <v>91</v>
      </c>
      <c r="CG43" s="194">
        <v>256</v>
      </c>
    </row>
    <row r="44" spans="1:85" x14ac:dyDescent="0.3">
      <c r="A44" s="17">
        <v>2009</v>
      </c>
      <c r="B44" s="193">
        <v>3.8107000000000002</v>
      </c>
      <c r="C44" s="160">
        <v>1.0083</v>
      </c>
      <c r="D44" s="160">
        <v>3221</v>
      </c>
      <c r="E44" s="208">
        <f t="shared" si="6"/>
        <v>1.0669095727061941</v>
      </c>
      <c r="F44" s="160">
        <v>1913</v>
      </c>
      <c r="G44" s="194">
        <v>5187</v>
      </c>
      <c r="H44" s="193">
        <v>0.68869999999999998</v>
      </c>
      <c r="I44" s="160">
        <v>0.1767</v>
      </c>
      <c r="J44" s="160">
        <v>822</v>
      </c>
      <c r="K44" s="208">
        <f t="shared" si="7"/>
        <v>0.76607642124883502</v>
      </c>
      <c r="L44" s="160">
        <v>482</v>
      </c>
      <c r="M44" s="17">
        <v>1299</v>
      </c>
      <c r="N44" s="193">
        <v>1.0834999999999999</v>
      </c>
      <c r="O44" s="160">
        <v>0.43759999999999999</v>
      </c>
      <c r="P44" s="160">
        <v>1580</v>
      </c>
      <c r="Q44" s="208">
        <f t="shared" si="8"/>
        <v>2.6029654036243821</v>
      </c>
      <c r="R44" s="160">
        <v>410</v>
      </c>
      <c r="S44" s="17">
        <v>3152</v>
      </c>
      <c r="T44" s="193">
        <v>1.6143000000000001</v>
      </c>
      <c r="U44" s="160">
        <v>0.38500000000000001</v>
      </c>
      <c r="V44" s="160">
        <v>1170</v>
      </c>
      <c r="W44" s="208">
        <f t="shared" si="9"/>
        <v>0.62003179650238471</v>
      </c>
      <c r="X44" s="160">
        <v>673</v>
      </c>
      <c r="Y44" s="17">
        <v>1798</v>
      </c>
      <c r="Z44" s="193">
        <v>0.1047</v>
      </c>
      <c r="AA44" s="160">
        <v>6.5199999999999994E-2</v>
      </c>
      <c r="AB44" s="160">
        <v>97</v>
      </c>
      <c r="AC44" s="208">
        <f t="shared" si="10"/>
        <v>1.6724137931034482</v>
      </c>
      <c r="AD44" s="160">
        <v>0</v>
      </c>
      <c r="AE44" s="194">
        <v>206</v>
      </c>
      <c r="AF44" s="193">
        <v>0.64870000000000005</v>
      </c>
      <c r="AG44" s="160">
        <v>0.2681</v>
      </c>
      <c r="AH44" s="160">
        <v>429</v>
      </c>
      <c r="AI44" s="208">
        <f t="shared" si="11"/>
        <v>1.8733624454148472</v>
      </c>
      <c r="AJ44" s="160">
        <v>191</v>
      </c>
      <c r="AK44" s="17">
        <v>867</v>
      </c>
      <c r="AL44" s="193">
        <v>5.8437000000000001</v>
      </c>
      <c r="AM44" s="160">
        <v>1.0967</v>
      </c>
      <c r="AN44" s="160">
        <v>5461</v>
      </c>
      <c r="AO44" s="208">
        <f t="shared" si="12"/>
        <v>0.91812373907195699</v>
      </c>
      <c r="AP44" s="160">
        <v>3501</v>
      </c>
      <c r="AQ44" s="194">
        <v>7408</v>
      </c>
      <c r="AR44" s="193">
        <v>5.8536000000000001</v>
      </c>
      <c r="AS44" s="160">
        <v>1.1536</v>
      </c>
      <c r="AT44" s="160">
        <v>4295</v>
      </c>
      <c r="AU44" s="208">
        <f t="shared" si="13"/>
        <v>0.99744542498838829</v>
      </c>
      <c r="AV44" s="160">
        <v>3042</v>
      </c>
      <c r="AW44" s="17">
        <v>6320</v>
      </c>
      <c r="AX44" s="193">
        <v>1.3062</v>
      </c>
      <c r="AY44" s="160">
        <v>0.80549999999999999</v>
      </c>
      <c r="AZ44" s="160">
        <v>556</v>
      </c>
      <c r="BA44" s="208">
        <f t="shared" si="14"/>
        <v>1.0220588235294117</v>
      </c>
      <c r="BB44" s="160">
        <v>254</v>
      </c>
      <c r="BC44" s="194">
        <v>1441</v>
      </c>
      <c r="BD44" s="193"/>
      <c r="BE44" s="160"/>
      <c r="BF44" s="160"/>
      <c r="BG44" s="208"/>
      <c r="BH44" s="160"/>
      <c r="BI44" s="17"/>
      <c r="BJ44" s="193"/>
      <c r="BK44" s="160"/>
      <c r="BL44" s="160"/>
      <c r="BM44" s="160"/>
      <c r="BN44" s="160"/>
      <c r="BO44" s="194"/>
      <c r="BP44" s="193"/>
      <c r="BQ44" s="160"/>
      <c r="BR44" s="160">
        <v>495</v>
      </c>
      <c r="BS44" s="208">
        <f t="shared" si="16"/>
        <v>4.057377049180328</v>
      </c>
      <c r="BT44" s="160">
        <v>232</v>
      </c>
      <c r="BU44" s="17">
        <v>1054</v>
      </c>
      <c r="BV44" s="193"/>
      <c r="BW44" s="160"/>
      <c r="BX44" s="160">
        <v>789</v>
      </c>
      <c r="BY44" s="160">
        <f>BX44/BX43</f>
        <v>3.5066666666666668</v>
      </c>
      <c r="BZ44" s="160">
        <v>522</v>
      </c>
      <c r="CA44" s="194">
        <v>1193</v>
      </c>
      <c r="CB44" s="193"/>
      <c r="CC44" s="160"/>
      <c r="CD44" s="160">
        <v>631</v>
      </c>
      <c r="CE44" s="160">
        <f>CD44/CD43</f>
        <v>3.6264367816091956</v>
      </c>
      <c r="CF44" s="160">
        <v>449</v>
      </c>
      <c r="CG44" s="194">
        <v>885</v>
      </c>
    </row>
    <row r="45" spans="1:85" x14ac:dyDescent="0.3">
      <c r="A45" s="17">
        <v>2010</v>
      </c>
      <c r="B45" s="193">
        <v>2.0042</v>
      </c>
      <c r="C45" s="160">
        <v>0.55740000000000001</v>
      </c>
      <c r="D45" s="160">
        <v>1694</v>
      </c>
      <c r="E45" s="208">
        <f t="shared" si="6"/>
        <v>0.52592362620304256</v>
      </c>
      <c r="F45" s="160">
        <v>920</v>
      </c>
      <c r="G45" s="194">
        <v>2744</v>
      </c>
      <c r="H45" s="193">
        <v>1.7829999999999999</v>
      </c>
      <c r="I45" s="160">
        <v>0.42370000000000002</v>
      </c>
      <c r="J45" s="160">
        <v>2128</v>
      </c>
      <c r="K45" s="208">
        <f t="shared" si="7"/>
        <v>2.5888077858880778</v>
      </c>
      <c r="L45" s="160">
        <v>1058</v>
      </c>
      <c r="M45" s="17">
        <v>3091</v>
      </c>
      <c r="N45" s="193">
        <v>0.39119999999999999</v>
      </c>
      <c r="O45" s="160">
        <v>0.1711</v>
      </c>
      <c r="P45" s="160">
        <v>571</v>
      </c>
      <c r="Q45" s="208">
        <f t="shared" si="8"/>
        <v>0.36139240506329112</v>
      </c>
      <c r="R45" s="160">
        <v>81</v>
      </c>
      <c r="S45" s="17">
        <v>1164</v>
      </c>
      <c r="T45" s="193">
        <v>1.3361000000000001</v>
      </c>
      <c r="U45" s="160">
        <v>0.32640000000000002</v>
      </c>
      <c r="V45" s="160">
        <v>968</v>
      </c>
      <c r="W45" s="208">
        <f t="shared" si="9"/>
        <v>0.8273504273504273</v>
      </c>
      <c r="X45" s="160">
        <v>535</v>
      </c>
      <c r="Y45" s="17">
        <v>1441</v>
      </c>
      <c r="Z45" s="193">
        <v>0.34339999999999998</v>
      </c>
      <c r="AA45" s="160">
        <v>0.249</v>
      </c>
      <c r="AB45" s="160">
        <v>318</v>
      </c>
      <c r="AC45" s="208">
        <f t="shared" si="10"/>
        <v>3.2783505154639174</v>
      </c>
      <c r="AD45" s="160">
        <v>0</v>
      </c>
      <c r="AE45" s="194">
        <v>815</v>
      </c>
      <c r="AF45" s="193">
        <v>1.0712999999999999</v>
      </c>
      <c r="AG45" s="160">
        <v>0.53129999999999999</v>
      </c>
      <c r="AH45" s="160">
        <v>708</v>
      </c>
      <c r="AI45" s="208">
        <f t="shared" si="11"/>
        <v>1.6503496503496504</v>
      </c>
      <c r="AJ45" s="160">
        <v>219</v>
      </c>
      <c r="AK45" s="17">
        <v>1376</v>
      </c>
      <c r="AL45" s="193">
        <v>6.9714999999999998</v>
      </c>
      <c r="AM45" s="160">
        <v>1.2302</v>
      </c>
      <c r="AN45" s="160">
        <v>6515</v>
      </c>
      <c r="AO45" s="208">
        <f t="shared" si="12"/>
        <v>1.1930049441494233</v>
      </c>
      <c r="AP45" s="160">
        <v>3927</v>
      </c>
      <c r="AQ45" s="194">
        <v>8521</v>
      </c>
      <c r="AR45" s="193">
        <v>3.7488999999999999</v>
      </c>
      <c r="AS45" s="160">
        <v>1.2435</v>
      </c>
      <c r="AT45" s="160">
        <v>2751</v>
      </c>
      <c r="AU45" s="208">
        <f t="shared" si="13"/>
        <v>0.64051222351571591</v>
      </c>
      <c r="AV45" s="160">
        <v>1461</v>
      </c>
      <c r="AW45" s="17">
        <v>4939</v>
      </c>
      <c r="AX45" s="193">
        <v>2.1553</v>
      </c>
      <c r="AY45" s="160">
        <v>0.7258</v>
      </c>
      <c r="AZ45" s="160">
        <v>917</v>
      </c>
      <c r="BA45" s="208">
        <f t="shared" si="14"/>
        <v>1.6492805755395683</v>
      </c>
      <c r="BB45" s="160">
        <v>435</v>
      </c>
      <c r="BC45" s="194">
        <v>1672</v>
      </c>
      <c r="BD45" s="193"/>
      <c r="BE45" s="160"/>
      <c r="BF45" s="160"/>
      <c r="BG45" s="208"/>
      <c r="BH45" s="160"/>
      <c r="BI45" s="17"/>
      <c r="BJ45" s="193"/>
      <c r="BK45" s="160"/>
      <c r="BL45" s="160"/>
      <c r="BM45" s="160"/>
      <c r="BN45" s="160"/>
      <c r="BO45" s="194"/>
      <c r="BP45" s="193"/>
      <c r="BQ45" s="160"/>
      <c r="BR45" s="160"/>
      <c r="BS45" s="208"/>
      <c r="BT45" s="160"/>
      <c r="BU45" s="17"/>
      <c r="BV45" s="193"/>
      <c r="BW45" s="160"/>
      <c r="BX45" s="160"/>
      <c r="BY45" s="160"/>
      <c r="BZ45" s="160"/>
      <c r="CA45" s="194"/>
      <c r="CB45" s="193"/>
      <c r="CC45" s="160"/>
      <c r="CD45" s="160"/>
      <c r="CE45" s="160"/>
      <c r="CF45" s="160"/>
      <c r="CG45" s="194"/>
    </row>
    <row r="46" spans="1:85" x14ac:dyDescent="0.3">
      <c r="A46" s="986"/>
      <c r="B46" s="986"/>
      <c r="C46" s="986"/>
      <c r="D46" s="986"/>
      <c r="E46" s="986"/>
      <c r="F46" s="986"/>
      <c r="G46" s="986"/>
      <c r="H46" s="986"/>
      <c r="I46" s="986"/>
      <c r="J46" s="986"/>
      <c r="K46" s="986"/>
      <c r="L46" s="986"/>
      <c r="M46" s="986"/>
      <c r="N46" s="986"/>
      <c r="O46" s="986"/>
      <c r="P46" s="986"/>
      <c r="Q46" s="24"/>
      <c r="R46" s="24"/>
      <c r="S46" s="24"/>
      <c r="T46" s="24"/>
      <c r="U46" s="24"/>
      <c r="V46" s="24"/>
      <c r="W46" s="24"/>
      <c r="X46" s="24"/>
      <c r="Y46" s="24"/>
      <c r="Z46" s="24"/>
      <c r="AA46" s="986"/>
      <c r="AB46" s="986"/>
      <c r="AC46" s="986"/>
      <c r="AD46" s="986"/>
      <c r="AE46" s="986"/>
      <c r="AF46" s="986"/>
      <c r="AG46" s="986"/>
      <c r="AH46" s="986"/>
      <c r="AI46" s="986"/>
      <c r="AJ46" s="986"/>
      <c r="AK46" s="986"/>
      <c r="AL46" s="986"/>
      <c r="AM46" s="986"/>
      <c r="AN46" s="986"/>
      <c r="AO46" s="986"/>
      <c r="AP46" s="986"/>
      <c r="AQ46" s="986"/>
      <c r="AR46" s="986"/>
      <c r="AS46" s="986"/>
      <c r="AT46" s="986"/>
      <c r="AU46" s="986"/>
      <c r="AV46" s="986"/>
      <c r="AW46" s="986"/>
      <c r="AX46" s="986"/>
      <c r="AY46" s="986"/>
      <c r="AZ46" s="986"/>
      <c r="BA46" s="986"/>
      <c r="BB46" s="986"/>
      <c r="BC46" s="986"/>
      <c r="BD46" s="986"/>
      <c r="BE46" s="986"/>
      <c r="BF46" s="986"/>
      <c r="BG46" s="986"/>
      <c r="BH46" s="986"/>
      <c r="BI46" s="986"/>
      <c r="BJ46" s="986"/>
      <c r="BK46" s="986"/>
      <c r="BL46" s="986"/>
      <c r="BM46" s="986"/>
      <c r="BN46" s="986"/>
      <c r="BO46" s="986"/>
      <c r="BP46" s="986"/>
      <c r="BQ46" s="986"/>
      <c r="BR46" s="986"/>
      <c r="BS46" s="986"/>
      <c r="BT46" s="986"/>
      <c r="BU46" s="986"/>
      <c r="BV46" s="986"/>
      <c r="BW46" s="986"/>
      <c r="BX46" s="986"/>
      <c r="BY46" s="986"/>
      <c r="BZ46" s="986"/>
      <c r="CA46" s="986"/>
      <c r="CB46" s="986"/>
      <c r="CC46" s="986"/>
      <c r="CD46" s="986"/>
      <c r="CE46" s="986"/>
      <c r="CF46" s="986"/>
      <c r="CG46" s="986"/>
    </row>
  </sheetData>
  <mergeCells count="2">
    <mergeCell ref="B14:G14"/>
    <mergeCell ref="AR14:AV14"/>
  </mergeCells>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3">
    <tabColor theme="2" tint="-0.749992370372631"/>
  </sheetPr>
  <dimension ref="A1:P33"/>
  <sheetViews>
    <sheetView workbookViewId="0">
      <selection sqref="A1:P33"/>
    </sheetView>
  </sheetViews>
  <sheetFormatPr defaultColWidth="9.21875" defaultRowHeight="13.8" x14ac:dyDescent="0.25"/>
  <cols>
    <col min="1" max="16384" width="9.21875" style="302"/>
  </cols>
  <sheetData>
    <row r="1" spans="1:16" x14ac:dyDescent="0.25">
      <c r="A1" s="1511" t="s">
        <v>590</v>
      </c>
      <c r="B1" s="1511"/>
      <c r="C1" s="1511"/>
      <c r="D1" s="1511"/>
      <c r="E1" s="1511"/>
      <c r="F1" s="1511"/>
      <c r="G1" s="1511"/>
      <c r="H1" s="1511"/>
      <c r="I1" s="1511"/>
      <c r="J1" s="1511"/>
      <c r="K1" s="1511"/>
      <c r="L1" s="1511"/>
      <c r="M1" s="1511"/>
      <c r="N1" s="1511"/>
      <c r="O1" s="1511"/>
      <c r="P1" s="1511"/>
    </row>
    <row r="2" spans="1:16" x14ac:dyDescent="0.25">
      <c r="A2" s="1511"/>
      <c r="B2" s="1511"/>
      <c r="C2" s="1511"/>
      <c r="D2" s="1511"/>
      <c r="E2" s="1511"/>
      <c r="F2" s="1511"/>
      <c r="G2" s="1511"/>
      <c r="H2" s="1511"/>
      <c r="I2" s="1511"/>
      <c r="J2" s="1511"/>
      <c r="K2" s="1511"/>
      <c r="L2" s="1511"/>
      <c r="M2" s="1511"/>
      <c r="N2" s="1511"/>
      <c r="O2" s="1511"/>
      <c r="P2" s="1511"/>
    </row>
    <row r="3" spans="1:16" x14ac:dyDescent="0.25">
      <c r="A3" s="1511"/>
      <c r="B3" s="1511"/>
      <c r="C3" s="1511"/>
      <c r="D3" s="1511"/>
      <c r="E3" s="1511"/>
      <c r="F3" s="1511"/>
      <c r="G3" s="1511"/>
      <c r="H3" s="1511"/>
      <c r="I3" s="1511"/>
      <c r="J3" s="1511"/>
      <c r="K3" s="1511"/>
      <c r="L3" s="1511"/>
      <c r="M3" s="1511"/>
      <c r="N3" s="1511"/>
      <c r="O3" s="1511"/>
      <c r="P3" s="1511"/>
    </row>
    <row r="4" spans="1:16" x14ac:dyDescent="0.25">
      <c r="A4" s="1511"/>
      <c r="B4" s="1511"/>
      <c r="C4" s="1511"/>
      <c r="D4" s="1511"/>
      <c r="E4" s="1511"/>
      <c r="F4" s="1511"/>
      <c r="G4" s="1511"/>
      <c r="H4" s="1511"/>
      <c r="I4" s="1511"/>
      <c r="J4" s="1511"/>
      <c r="K4" s="1511"/>
      <c r="L4" s="1511"/>
      <c r="M4" s="1511"/>
      <c r="N4" s="1511"/>
      <c r="O4" s="1511"/>
      <c r="P4" s="1511"/>
    </row>
    <row r="5" spans="1:16" x14ac:dyDescent="0.25">
      <c r="A5" s="1511"/>
      <c r="B5" s="1511"/>
      <c r="C5" s="1511"/>
      <c r="D5" s="1511"/>
      <c r="E5" s="1511"/>
      <c r="F5" s="1511"/>
      <c r="G5" s="1511"/>
      <c r="H5" s="1511"/>
      <c r="I5" s="1511"/>
      <c r="J5" s="1511"/>
      <c r="K5" s="1511"/>
      <c r="L5" s="1511"/>
      <c r="M5" s="1511"/>
      <c r="N5" s="1511"/>
      <c r="O5" s="1511"/>
      <c r="P5" s="1511"/>
    </row>
    <row r="6" spans="1:16" x14ac:dyDescent="0.25">
      <c r="A6" s="1511"/>
      <c r="B6" s="1511"/>
      <c r="C6" s="1511"/>
      <c r="D6" s="1511"/>
      <c r="E6" s="1511"/>
      <c r="F6" s="1511"/>
      <c r="G6" s="1511"/>
      <c r="H6" s="1511"/>
      <c r="I6" s="1511"/>
      <c r="J6" s="1511"/>
      <c r="K6" s="1511"/>
      <c r="L6" s="1511"/>
      <c r="M6" s="1511"/>
      <c r="N6" s="1511"/>
      <c r="O6" s="1511"/>
      <c r="P6" s="1511"/>
    </row>
    <row r="7" spans="1:16" x14ac:dyDescent="0.25">
      <c r="A7" s="1511"/>
      <c r="B7" s="1511"/>
      <c r="C7" s="1511"/>
      <c r="D7" s="1511"/>
      <c r="E7" s="1511"/>
      <c r="F7" s="1511"/>
      <c r="G7" s="1511"/>
      <c r="H7" s="1511"/>
      <c r="I7" s="1511"/>
      <c r="J7" s="1511"/>
      <c r="K7" s="1511"/>
      <c r="L7" s="1511"/>
      <c r="M7" s="1511"/>
      <c r="N7" s="1511"/>
      <c r="O7" s="1511"/>
      <c r="P7" s="1511"/>
    </row>
    <row r="8" spans="1:16" x14ac:dyDescent="0.25">
      <c r="A8" s="1511"/>
      <c r="B8" s="1511"/>
      <c r="C8" s="1511"/>
      <c r="D8" s="1511"/>
      <c r="E8" s="1511"/>
      <c r="F8" s="1511"/>
      <c r="G8" s="1511"/>
      <c r="H8" s="1511"/>
      <c r="I8" s="1511"/>
      <c r="J8" s="1511"/>
      <c r="K8" s="1511"/>
      <c r="L8" s="1511"/>
      <c r="M8" s="1511"/>
      <c r="N8" s="1511"/>
      <c r="O8" s="1511"/>
      <c r="P8" s="1511"/>
    </row>
    <row r="9" spans="1:16" x14ac:dyDescent="0.25">
      <c r="A9" s="1511"/>
      <c r="B9" s="1511"/>
      <c r="C9" s="1511"/>
      <c r="D9" s="1511"/>
      <c r="E9" s="1511"/>
      <c r="F9" s="1511"/>
      <c r="G9" s="1511"/>
      <c r="H9" s="1511"/>
      <c r="I9" s="1511"/>
      <c r="J9" s="1511"/>
      <c r="K9" s="1511"/>
      <c r="L9" s="1511"/>
      <c r="M9" s="1511"/>
      <c r="N9" s="1511"/>
      <c r="O9" s="1511"/>
      <c r="P9" s="1511"/>
    </row>
    <row r="10" spans="1:16" x14ac:dyDescent="0.25">
      <c r="A10" s="1511"/>
      <c r="B10" s="1511"/>
      <c r="C10" s="1511"/>
      <c r="D10" s="1511"/>
      <c r="E10" s="1511"/>
      <c r="F10" s="1511"/>
      <c r="G10" s="1511"/>
      <c r="H10" s="1511"/>
      <c r="I10" s="1511"/>
      <c r="J10" s="1511"/>
      <c r="K10" s="1511"/>
      <c r="L10" s="1511"/>
      <c r="M10" s="1511"/>
      <c r="N10" s="1511"/>
      <c r="O10" s="1511"/>
      <c r="P10" s="1511"/>
    </row>
    <row r="11" spans="1:16" x14ac:dyDescent="0.25">
      <c r="A11" s="1511"/>
      <c r="B11" s="1511"/>
      <c r="C11" s="1511"/>
      <c r="D11" s="1511"/>
      <c r="E11" s="1511"/>
      <c r="F11" s="1511"/>
      <c r="G11" s="1511"/>
      <c r="H11" s="1511"/>
      <c r="I11" s="1511"/>
      <c r="J11" s="1511"/>
      <c r="K11" s="1511"/>
      <c r="L11" s="1511"/>
      <c r="M11" s="1511"/>
      <c r="N11" s="1511"/>
      <c r="O11" s="1511"/>
      <c r="P11" s="1511"/>
    </row>
    <row r="12" spans="1:16" x14ac:dyDescent="0.25">
      <c r="A12" s="1511"/>
      <c r="B12" s="1511"/>
      <c r="C12" s="1511"/>
      <c r="D12" s="1511"/>
      <c r="E12" s="1511"/>
      <c r="F12" s="1511"/>
      <c r="G12" s="1511"/>
      <c r="H12" s="1511"/>
      <c r="I12" s="1511"/>
      <c r="J12" s="1511"/>
      <c r="K12" s="1511"/>
      <c r="L12" s="1511"/>
      <c r="M12" s="1511"/>
      <c r="N12" s="1511"/>
      <c r="O12" s="1511"/>
      <c r="P12" s="1511"/>
    </row>
    <row r="13" spans="1:16" x14ac:dyDescent="0.25">
      <c r="A13" s="1511"/>
      <c r="B13" s="1511"/>
      <c r="C13" s="1511"/>
      <c r="D13" s="1511"/>
      <c r="E13" s="1511"/>
      <c r="F13" s="1511"/>
      <c r="G13" s="1511"/>
      <c r="H13" s="1511"/>
      <c r="I13" s="1511"/>
      <c r="J13" s="1511"/>
      <c r="K13" s="1511"/>
      <c r="L13" s="1511"/>
      <c r="M13" s="1511"/>
      <c r="N13" s="1511"/>
      <c r="O13" s="1511"/>
      <c r="P13" s="1511"/>
    </row>
    <row r="14" spans="1:16" x14ac:dyDescent="0.25">
      <c r="A14" s="1511"/>
      <c r="B14" s="1511"/>
      <c r="C14" s="1511"/>
      <c r="D14" s="1511"/>
      <c r="E14" s="1511"/>
      <c r="F14" s="1511"/>
      <c r="G14" s="1511"/>
      <c r="H14" s="1511"/>
      <c r="I14" s="1511"/>
      <c r="J14" s="1511"/>
      <c r="K14" s="1511"/>
      <c r="L14" s="1511"/>
      <c r="M14" s="1511"/>
      <c r="N14" s="1511"/>
      <c r="O14" s="1511"/>
      <c r="P14" s="1511"/>
    </row>
    <row r="15" spans="1:16" x14ac:dyDescent="0.25">
      <c r="A15" s="1511"/>
      <c r="B15" s="1511"/>
      <c r="C15" s="1511"/>
      <c r="D15" s="1511"/>
      <c r="E15" s="1511"/>
      <c r="F15" s="1511"/>
      <c r="G15" s="1511"/>
      <c r="H15" s="1511"/>
      <c r="I15" s="1511"/>
      <c r="J15" s="1511"/>
      <c r="K15" s="1511"/>
      <c r="L15" s="1511"/>
      <c r="M15" s="1511"/>
      <c r="N15" s="1511"/>
      <c r="O15" s="1511"/>
      <c r="P15" s="1511"/>
    </row>
    <row r="16" spans="1:16" x14ac:dyDescent="0.25">
      <c r="A16" s="1511"/>
      <c r="B16" s="1511"/>
      <c r="C16" s="1511"/>
      <c r="D16" s="1511"/>
      <c r="E16" s="1511"/>
      <c r="F16" s="1511"/>
      <c r="G16" s="1511"/>
      <c r="H16" s="1511"/>
      <c r="I16" s="1511"/>
      <c r="J16" s="1511"/>
      <c r="K16" s="1511"/>
      <c r="L16" s="1511"/>
      <c r="M16" s="1511"/>
      <c r="N16" s="1511"/>
      <c r="O16" s="1511"/>
      <c r="P16" s="1511"/>
    </row>
    <row r="17" spans="1:16" x14ac:dyDescent="0.25">
      <c r="A17" s="1511"/>
      <c r="B17" s="1511"/>
      <c r="C17" s="1511"/>
      <c r="D17" s="1511"/>
      <c r="E17" s="1511"/>
      <c r="F17" s="1511"/>
      <c r="G17" s="1511"/>
      <c r="H17" s="1511"/>
      <c r="I17" s="1511"/>
      <c r="J17" s="1511"/>
      <c r="K17" s="1511"/>
      <c r="L17" s="1511"/>
      <c r="M17" s="1511"/>
      <c r="N17" s="1511"/>
      <c r="O17" s="1511"/>
      <c r="P17" s="1511"/>
    </row>
    <row r="18" spans="1:16" x14ac:dyDescent="0.25">
      <c r="A18" s="1511"/>
      <c r="B18" s="1511"/>
      <c r="C18" s="1511"/>
      <c r="D18" s="1511"/>
      <c r="E18" s="1511"/>
      <c r="F18" s="1511"/>
      <c r="G18" s="1511"/>
      <c r="H18" s="1511"/>
      <c r="I18" s="1511"/>
      <c r="J18" s="1511"/>
      <c r="K18" s="1511"/>
      <c r="L18" s="1511"/>
      <c r="M18" s="1511"/>
      <c r="N18" s="1511"/>
      <c r="O18" s="1511"/>
      <c r="P18" s="1511"/>
    </row>
    <row r="19" spans="1:16" x14ac:dyDescent="0.25">
      <c r="A19" s="1511"/>
      <c r="B19" s="1511"/>
      <c r="C19" s="1511"/>
      <c r="D19" s="1511"/>
      <c r="E19" s="1511"/>
      <c r="F19" s="1511"/>
      <c r="G19" s="1511"/>
      <c r="H19" s="1511"/>
      <c r="I19" s="1511"/>
      <c r="J19" s="1511"/>
      <c r="K19" s="1511"/>
      <c r="L19" s="1511"/>
      <c r="M19" s="1511"/>
      <c r="N19" s="1511"/>
      <c r="O19" s="1511"/>
      <c r="P19" s="1511"/>
    </row>
    <row r="20" spans="1:16" x14ac:dyDescent="0.25">
      <c r="A20" s="1511"/>
      <c r="B20" s="1511"/>
      <c r="C20" s="1511"/>
      <c r="D20" s="1511"/>
      <c r="E20" s="1511"/>
      <c r="F20" s="1511"/>
      <c r="G20" s="1511"/>
      <c r="H20" s="1511"/>
      <c r="I20" s="1511"/>
      <c r="J20" s="1511"/>
      <c r="K20" s="1511"/>
      <c r="L20" s="1511"/>
      <c r="M20" s="1511"/>
      <c r="N20" s="1511"/>
      <c r="O20" s="1511"/>
      <c r="P20" s="1511"/>
    </row>
    <row r="21" spans="1:16" x14ac:dyDescent="0.25">
      <c r="A21" s="1511"/>
      <c r="B21" s="1511"/>
      <c r="C21" s="1511"/>
      <c r="D21" s="1511"/>
      <c r="E21" s="1511"/>
      <c r="F21" s="1511"/>
      <c r="G21" s="1511"/>
      <c r="H21" s="1511"/>
      <c r="I21" s="1511"/>
      <c r="J21" s="1511"/>
      <c r="K21" s="1511"/>
      <c r="L21" s="1511"/>
      <c r="M21" s="1511"/>
      <c r="N21" s="1511"/>
      <c r="O21" s="1511"/>
      <c r="P21" s="1511"/>
    </row>
    <row r="22" spans="1:16" x14ac:dyDescent="0.25">
      <c r="A22" s="1511"/>
      <c r="B22" s="1511"/>
      <c r="C22" s="1511"/>
      <c r="D22" s="1511"/>
      <c r="E22" s="1511"/>
      <c r="F22" s="1511"/>
      <c r="G22" s="1511"/>
      <c r="H22" s="1511"/>
      <c r="I22" s="1511"/>
      <c r="J22" s="1511"/>
      <c r="K22" s="1511"/>
      <c r="L22" s="1511"/>
      <c r="M22" s="1511"/>
      <c r="N22" s="1511"/>
      <c r="O22" s="1511"/>
      <c r="P22" s="1511"/>
    </row>
    <row r="23" spans="1:16" x14ac:dyDescent="0.25">
      <c r="A23" s="1511"/>
      <c r="B23" s="1511"/>
      <c r="C23" s="1511"/>
      <c r="D23" s="1511"/>
      <c r="E23" s="1511"/>
      <c r="F23" s="1511"/>
      <c r="G23" s="1511"/>
      <c r="H23" s="1511"/>
      <c r="I23" s="1511"/>
      <c r="J23" s="1511"/>
      <c r="K23" s="1511"/>
      <c r="L23" s="1511"/>
      <c r="M23" s="1511"/>
      <c r="N23" s="1511"/>
      <c r="O23" s="1511"/>
      <c r="P23" s="1511"/>
    </row>
    <row r="24" spans="1:16" x14ac:dyDescent="0.25">
      <c r="A24" s="1511"/>
      <c r="B24" s="1511"/>
      <c r="C24" s="1511"/>
      <c r="D24" s="1511"/>
      <c r="E24" s="1511"/>
      <c r="F24" s="1511"/>
      <c r="G24" s="1511"/>
      <c r="H24" s="1511"/>
      <c r="I24" s="1511"/>
      <c r="J24" s="1511"/>
      <c r="K24" s="1511"/>
      <c r="L24" s="1511"/>
      <c r="M24" s="1511"/>
      <c r="N24" s="1511"/>
      <c r="O24" s="1511"/>
      <c r="P24" s="1511"/>
    </row>
    <row r="25" spans="1:16" x14ac:dyDescent="0.25">
      <c r="A25" s="1511"/>
      <c r="B25" s="1511"/>
      <c r="C25" s="1511"/>
      <c r="D25" s="1511"/>
      <c r="E25" s="1511"/>
      <c r="F25" s="1511"/>
      <c r="G25" s="1511"/>
      <c r="H25" s="1511"/>
      <c r="I25" s="1511"/>
      <c r="J25" s="1511"/>
      <c r="K25" s="1511"/>
      <c r="L25" s="1511"/>
      <c r="M25" s="1511"/>
      <c r="N25" s="1511"/>
      <c r="O25" s="1511"/>
      <c r="P25" s="1511"/>
    </row>
    <row r="26" spans="1:16" x14ac:dyDescent="0.25">
      <c r="A26" s="1511"/>
      <c r="B26" s="1511"/>
      <c r="C26" s="1511"/>
      <c r="D26" s="1511"/>
      <c r="E26" s="1511"/>
      <c r="F26" s="1511"/>
      <c r="G26" s="1511"/>
      <c r="H26" s="1511"/>
      <c r="I26" s="1511"/>
      <c r="J26" s="1511"/>
      <c r="K26" s="1511"/>
      <c r="L26" s="1511"/>
      <c r="M26" s="1511"/>
      <c r="N26" s="1511"/>
      <c r="O26" s="1511"/>
      <c r="P26" s="1511"/>
    </row>
    <row r="27" spans="1:16" x14ac:dyDescent="0.25">
      <c r="A27" s="1511"/>
      <c r="B27" s="1511"/>
      <c r="C27" s="1511"/>
      <c r="D27" s="1511"/>
      <c r="E27" s="1511"/>
      <c r="F27" s="1511"/>
      <c r="G27" s="1511"/>
      <c r="H27" s="1511"/>
      <c r="I27" s="1511"/>
      <c r="J27" s="1511"/>
      <c r="K27" s="1511"/>
      <c r="L27" s="1511"/>
      <c r="M27" s="1511"/>
      <c r="N27" s="1511"/>
      <c r="O27" s="1511"/>
      <c r="P27" s="1511"/>
    </row>
    <row r="28" spans="1:16" x14ac:dyDescent="0.25">
      <c r="A28" s="1511"/>
      <c r="B28" s="1511"/>
      <c r="C28" s="1511"/>
      <c r="D28" s="1511"/>
      <c r="E28" s="1511"/>
      <c r="F28" s="1511"/>
      <c r="G28" s="1511"/>
      <c r="H28" s="1511"/>
      <c r="I28" s="1511"/>
      <c r="J28" s="1511"/>
      <c r="K28" s="1511"/>
      <c r="L28" s="1511"/>
      <c r="M28" s="1511"/>
      <c r="N28" s="1511"/>
      <c r="O28" s="1511"/>
      <c r="P28" s="1511"/>
    </row>
    <row r="29" spans="1:16" x14ac:dyDescent="0.25">
      <c r="A29" s="1511"/>
      <c r="B29" s="1511"/>
      <c r="C29" s="1511"/>
      <c r="D29" s="1511"/>
      <c r="E29" s="1511"/>
      <c r="F29" s="1511"/>
      <c r="G29" s="1511"/>
      <c r="H29" s="1511"/>
      <c r="I29" s="1511"/>
      <c r="J29" s="1511"/>
      <c r="K29" s="1511"/>
      <c r="L29" s="1511"/>
      <c r="M29" s="1511"/>
      <c r="N29" s="1511"/>
      <c r="O29" s="1511"/>
      <c r="P29" s="1511"/>
    </row>
    <row r="30" spans="1:16" x14ac:dyDescent="0.25">
      <c r="A30" s="1511"/>
      <c r="B30" s="1511"/>
      <c r="C30" s="1511"/>
      <c r="D30" s="1511"/>
      <c r="E30" s="1511"/>
      <c r="F30" s="1511"/>
      <c r="G30" s="1511"/>
      <c r="H30" s="1511"/>
      <c r="I30" s="1511"/>
      <c r="J30" s="1511"/>
      <c r="K30" s="1511"/>
      <c r="L30" s="1511"/>
      <c r="M30" s="1511"/>
      <c r="N30" s="1511"/>
      <c r="O30" s="1511"/>
      <c r="P30" s="1511"/>
    </row>
    <row r="31" spans="1:16" x14ac:dyDescent="0.25">
      <c r="A31" s="1511"/>
      <c r="B31" s="1511"/>
      <c r="C31" s="1511"/>
      <c r="D31" s="1511"/>
      <c r="E31" s="1511"/>
      <c r="F31" s="1511"/>
      <c r="G31" s="1511"/>
      <c r="H31" s="1511"/>
      <c r="I31" s="1511"/>
      <c r="J31" s="1511"/>
      <c r="K31" s="1511"/>
      <c r="L31" s="1511"/>
      <c r="M31" s="1511"/>
      <c r="N31" s="1511"/>
      <c r="O31" s="1511"/>
      <c r="P31" s="1511"/>
    </row>
    <row r="32" spans="1:16" x14ac:dyDescent="0.25">
      <c r="A32" s="1511"/>
      <c r="B32" s="1511"/>
      <c r="C32" s="1511"/>
      <c r="D32" s="1511"/>
      <c r="E32" s="1511"/>
      <c r="F32" s="1511"/>
      <c r="G32" s="1511"/>
      <c r="H32" s="1511"/>
      <c r="I32" s="1511"/>
      <c r="J32" s="1511"/>
      <c r="K32" s="1511"/>
      <c r="L32" s="1511"/>
      <c r="M32" s="1511"/>
      <c r="N32" s="1511"/>
      <c r="O32" s="1511"/>
      <c r="P32" s="1511"/>
    </row>
    <row r="33" spans="1:16" x14ac:dyDescent="0.25">
      <c r="A33" s="1511"/>
      <c r="B33" s="1511"/>
      <c r="C33" s="1511"/>
      <c r="D33" s="1511"/>
      <c r="E33" s="1511"/>
      <c r="F33" s="1511"/>
      <c r="G33" s="1511"/>
      <c r="H33" s="1511"/>
      <c r="I33" s="1511"/>
      <c r="J33" s="1511"/>
      <c r="K33" s="1511"/>
      <c r="L33" s="1511"/>
      <c r="M33" s="1511"/>
      <c r="N33" s="1511"/>
      <c r="O33" s="1511"/>
      <c r="P33" s="1511"/>
    </row>
  </sheetData>
  <mergeCells count="1">
    <mergeCell ref="A1:P33"/>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2" tint="-0.749992370372631"/>
  </sheetPr>
  <dimension ref="A1:AC87"/>
  <sheetViews>
    <sheetView zoomScale="80" zoomScaleNormal="80" workbookViewId="0">
      <selection sqref="A1:J2"/>
    </sheetView>
  </sheetViews>
  <sheetFormatPr defaultColWidth="9.21875" defaultRowHeight="13.8" x14ac:dyDescent="0.3"/>
  <cols>
    <col min="1" max="1" width="52" style="277" customWidth="1"/>
    <col min="2" max="2" width="7.44140625" style="277" customWidth="1"/>
    <col min="3" max="3" width="15.5546875" style="277" customWidth="1"/>
    <col min="4" max="4" width="11.5546875" style="277" customWidth="1"/>
    <col min="5" max="5" width="3.21875" style="277" customWidth="1"/>
    <col min="6" max="6" width="17.21875" style="277" customWidth="1"/>
    <col min="7" max="7" width="9.21875" style="277" customWidth="1"/>
    <col min="8" max="8" width="12.44140625" style="277" customWidth="1"/>
    <col min="9" max="9" width="7.77734375" style="277" customWidth="1"/>
    <col min="10" max="10" width="12.21875" style="277" customWidth="1"/>
    <col min="11" max="11" width="3" style="277" customWidth="1"/>
    <col min="12" max="12" width="17.21875" style="277" customWidth="1"/>
    <col min="13" max="13" width="10" style="277" bestFit="1" customWidth="1"/>
    <col min="14" max="14" width="8.21875" style="277" customWidth="1"/>
    <col min="15" max="15" width="8.44140625" style="277" customWidth="1"/>
    <col min="16" max="16" width="12.21875" style="277" customWidth="1"/>
    <col min="17" max="17" width="3" style="277" customWidth="1"/>
    <col min="18" max="18" width="17.21875" style="277" customWidth="1"/>
    <col min="19" max="21" width="7.21875" style="277" bestFit="1" customWidth="1"/>
    <col min="22" max="22" width="12.21875" style="277" customWidth="1"/>
    <col min="23" max="23" width="3" style="277" customWidth="1"/>
    <col min="24" max="24" width="18" style="277" customWidth="1"/>
    <col min="25" max="25" width="9.77734375" style="277" customWidth="1"/>
    <col min="26" max="26" width="11.21875" style="277" customWidth="1"/>
    <col min="27" max="27" width="8.77734375" style="277" customWidth="1"/>
    <col min="28" max="16384" width="9.21875" style="277"/>
  </cols>
  <sheetData>
    <row r="1" spans="1:29" x14ac:dyDescent="0.3">
      <c r="A1" s="1540" t="s">
        <v>423</v>
      </c>
      <c r="B1" s="1541"/>
      <c r="C1" s="1541"/>
      <c r="D1" s="1541"/>
      <c r="E1" s="1541"/>
      <c r="F1" s="1541"/>
      <c r="G1" s="1541"/>
      <c r="H1" s="1541"/>
      <c r="I1" s="1541"/>
      <c r="J1" s="1542"/>
      <c r="K1" s="880"/>
      <c r="L1" s="880"/>
      <c r="M1" s="880"/>
      <c r="N1" s="880"/>
      <c r="O1" s="880"/>
      <c r="P1" s="880"/>
      <c r="Q1" s="880"/>
      <c r="R1" s="880"/>
      <c r="S1" s="880"/>
      <c r="T1" s="880"/>
      <c r="U1" s="880"/>
      <c r="V1" s="880"/>
      <c r="W1" s="880"/>
      <c r="X1" s="880"/>
      <c r="Y1" s="880"/>
      <c r="Z1" s="880"/>
      <c r="AA1" s="880"/>
      <c r="AB1" s="880"/>
      <c r="AC1" s="880"/>
    </row>
    <row r="2" spans="1:29" ht="34.5" customHeight="1" thickBot="1" x14ac:dyDescent="0.35">
      <c r="A2" s="1543"/>
      <c r="B2" s="1544"/>
      <c r="C2" s="1544"/>
      <c r="D2" s="1544"/>
      <c r="E2" s="1544"/>
      <c r="F2" s="1544"/>
      <c r="G2" s="1544"/>
      <c r="H2" s="1544"/>
      <c r="I2" s="1544"/>
      <c r="J2" s="1545"/>
      <c r="K2" s="880"/>
      <c r="L2" s="880"/>
      <c r="M2" s="880"/>
      <c r="N2" s="880"/>
      <c r="O2" s="880"/>
      <c r="P2" s="979"/>
      <c r="Q2" s="979"/>
      <c r="R2" s="1539" t="s">
        <v>47</v>
      </c>
      <c r="S2" s="1539"/>
      <c r="T2" s="1538">
        <f>'Pile Driving Instructions'!$F$37</f>
        <v>45000</v>
      </c>
      <c r="U2" s="1538"/>
      <c r="V2" s="877" t="str">
        <f>'Pile Driving Instructions'!$G$37</f>
        <v>LZC</v>
      </c>
      <c r="W2" s="880"/>
      <c r="X2" s="880"/>
      <c r="Y2" s="880"/>
      <c r="Z2" s="880"/>
      <c r="AA2" s="880"/>
      <c r="AB2" s="880"/>
      <c r="AC2" s="880"/>
    </row>
    <row r="3" spans="1:29" s="664" customFormat="1" ht="21.75" customHeight="1" x14ac:dyDescent="0.3">
      <c r="A3" s="1546" t="s">
        <v>424</v>
      </c>
      <c r="B3" s="1547"/>
      <c r="C3" s="1547"/>
      <c r="D3" s="1547"/>
      <c r="E3" s="1547"/>
      <c r="F3" s="1547"/>
      <c r="G3" s="1547"/>
      <c r="H3" s="1547"/>
      <c r="I3" s="1547"/>
      <c r="J3" s="1548"/>
      <c r="K3" s="880"/>
      <c r="L3" s="880"/>
      <c r="M3" s="880"/>
      <c r="N3" s="880"/>
      <c r="O3" s="880"/>
      <c r="P3" s="880"/>
      <c r="Q3" s="880"/>
      <c r="R3" s="880"/>
      <c r="S3" s="880"/>
      <c r="T3" s="880"/>
      <c r="U3" s="880"/>
      <c r="V3" s="880"/>
      <c r="W3" s="880"/>
      <c r="X3" s="880"/>
      <c r="Y3" s="880"/>
      <c r="Z3" s="880"/>
      <c r="AA3" s="880"/>
      <c r="AB3" s="880"/>
      <c r="AC3" s="880"/>
    </row>
    <row r="4" spans="1:29" s="289" customFormat="1" ht="8.25" customHeight="1" x14ac:dyDescent="0.3">
      <c r="A4" s="665"/>
      <c r="B4" s="345"/>
      <c r="C4" s="345"/>
      <c r="D4" s="345"/>
      <c r="E4" s="345"/>
      <c r="F4" s="345"/>
      <c r="G4" s="345"/>
      <c r="H4" s="345"/>
      <c r="I4" s="345"/>
      <c r="J4" s="345"/>
      <c r="K4" s="942"/>
      <c r="L4" s="880"/>
      <c r="M4" s="880"/>
      <c r="N4" s="880"/>
      <c r="O4" s="880"/>
      <c r="P4" s="880"/>
      <c r="Q4" s="880"/>
      <c r="R4" s="880"/>
      <c r="S4" s="880"/>
      <c r="T4" s="880"/>
      <c r="U4" s="880"/>
      <c r="V4" s="880"/>
      <c r="W4" s="880"/>
      <c r="X4" s="880"/>
      <c r="Y4" s="880"/>
      <c r="Z4" s="880"/>
      <c r="AA4" s="880"/>
      <c r="AB4" s="880"/>
      <c r="AC4" s="880"/>
    </row>
    <row r="5" spans="1:29" s="289" customFormat="1" x14ac:dyDescent="0.3">
      <c r="A5" s="666" t="s">
        <v>425</v>
      </c>
      <c r="B5" s="667"/>
      <c r="C5" s="667"/>
      <c r="D5" s="667"/>
      <c r="E5" s="667"/>
      <c r="F5" s="667"/>
      <c r="G5" s="347"/>
      <c r="H5" s="347"/>
      <c r="I5" s="347"/>
      <c r="J5" s="347"/>
      <c r="K5" s="942"/>
      <c r="L5" s="880"/>
      <c r="M5" s="880"/>
      <c r="N5" s="880"/>
      <c r="O5" s="880"/>
      <c r="P5" s="880"/>
      <c r="Q5" s="880"/>
      <c r="R5" s="880"/>
      <c r="S5" s="880"/>
      <c r="T5" s="880"/>
      <c r="U5" s="880"/>
      <c r="V5" s="880"/>
      <c r="W5" s="880"/>
      <c r="X5" s="880"/>
      <c r="Y5" s="880"/>
      <c r="Z5" s="880"/>
      <c r="AA5" s="880"/>
      <c r="AB5" s="880"/>
      <c r="AC5" s="880"/>
    </row>
    <row r="6" spans="1:29" s="289" customFormat="1" x14ac:dyDescent="0.3">
      <c r="A6" s="668" t="s">
        <v>426</v>
      </c>
      <c r="B6" s="669"/>
      <c r="C6" s="669"/>
      <c r="D6" s="669"/>
      <c r="E6" s="669"/>
      <c r="F6" s="669"/>
      <c r="G6" s="345"/>
      <c r="H6" s="345"/>
      <c r="I6" s="345"/>
      <c r="J6" s="345"/>
      <c r="K6" s="670"/>
      <c r="L6" s="880"/>
      <c r="M6" s="880"/>
      <c r="N6" s="880"/>
      <c r="O6" s="880"/>
      <c r="P6" s="880"/>
      <c r="Q6" s="880"/>
      <c r="R6" s="880"/>
      <c r="S6" s="880"/>
      <c r="T6" s="880"/>
      <c r="U6" s="880"/>
      <c r="V6" s="880"/>
      <c r="W6" s="880"/>
      <c r="X6" s="347"/>
    </row>
    <row r="7" spans="1:29" s="289" customFormat="1" x14ac:dyDescent="0.3">
      <c r="A7" s="671" t="s">
        <v>427</v>
      </c>
      <c r="B7" s="672"/>
      <c r="C7" s="672"/>
      <c r="D7" s="672"/>
      <c r="E7" s="672"/>
      <c r="F7" s="672"/>
      <c r="G7" s="347"/>
      <c r="H7" s="347"/>
      <c r="I7" s="347"/>
      <c r="J7" s="347"/>
      <c r="K7" s="670"/>
      <c r="L7" s="880"/>
      <c r="M7" s="880"/>
      <c r="N7" s="880"/>
      <c r="O7" s="880"/>
      <c r="P7" s="880"/>
      <c r="Q7" s="880"/>
      <c r="R7" s="880"/>
      <c r="S7" s="880"/>
      <c r="T7" s="880"/>
      <c r="U7" s="880"/>
      <c r="V7" s="880"/>
      <c r="W7" s="880"/>
    </row>
    <row r="8" spans="1:29" s="289" customFormat="1" x14ac:dyDescent="0.3">
      <c r="A8" s="673" t="s">
        <v>428</v>
      </c>
      <c r="B8" s="674"/>
      <c r="C8" s="674"/>
      <c r="D8" s="674"/>
      <c r="E8" s="674"/>
      <c r="F8" s="674"/>
      <c r="G8" s="347"/>
      <c r="H8" s="347"/>
      <c r="J8" s="347"/>
      <c r="K8" s="670"/>
    </row>
    <row r="9" spans="1:29" s="289" customFormat="1" ht="8.25" customHeight="1" x14ac:dyDescent="0.3">
      <c r="A9" s="665"/>
      <c r="B9" s="345"/>
      <c r="C9" s="345"/>
      <c r="D9" s="345"/>
      <c r="E9" s="345"/>
      <c r="F9" s="345"/>
      <c r="G9" s="345"/>
      <c r="H9" s="345"/>
      <c r="I9" s="345"/>
      <c r="J9" s="345"/>
      <c r="K9" s="670"/>
    </row>
    <row r="10" spans="1:29" s="289" customFormat="1" ht="21" customHeight="1" thickBot="1" x14ac:dyDescent="0.35">
      <c r="A10" s="1537"/>
      <c r="B10" s="1537"/>
      <c r="C10" s="875"/>
      <c r="D10" s="876"/>
      <c r="E10" s="345"/>
      <c r="F10" s="1536" t="s">
        <v>429</v>
      </c>
      <c r="G10" s="1536"/>
      <c r="H10" s="1536"/>
      <c r="I10" s="1536"/>
      <c r="J10" s="1536"/>
      <c r="K10" s="1536"/>
      <c r="L10" s="1536"/>
      <c r="M10" s="1536"/>
      <c r="N10" s="1536"/>
      <c r="O10" s="1536"/>
      <c r="P10" s="1536"/>
      <c r="Q10" s="1536"/>
      <c r="R10" s="1536"/>
      <c r="S10" s="1536"/>
      <c r="T10" s="1536"/>
      <c r="U10" s="1536"/>
      <c r="V10" s="1536"/>
    </row>
    <row r="11" spans="1:29" s="289" customFormat="1" ht="21" customHeight="1" thickBot="1" x14ac:dyDescent="0.35">
      <c r="A11" s="665"/>
      <c r="B11" s="345"/>
      <c r="C11" s="345"/>
      <c r="D11" s="345"/>
      <c r="E11" s="345"/>
      <c r="F11" s="1530" t="s">
        <v>430</v>
      </c>
      <c r="G11" s="1531"/>
      <c r="H11" s="1531"/>
      <c r="I11" s="1531"/>
      <c r="J11" s="1531"/>
      <c r="K11" s="1531"/>
      <c r="L11" s="1531"/>
      <c r="M11" s="1531"/>
      <c r="N11" s="1531"/>
      <c r="O11" s="1531"/>
      <c r="P11" s="1531"/>
      <c r="Q11" s="1531"/>
      <c r="R11" s="1531"/>
      <c r="S11" s="1531"/>
      <c r="T11" s="1531"/>
      <c r="U11" s="1531"/>
      <c r="V11" s="1532"/>
    </row>
    <row r="12" spans="1:29" ht="23.25" customHeight="1" thickBot="1" x14ac:dyDescent="0.35">
      <c r="A12" s="823" t="s">
        <v>431</v>
      </c>
      <c r="B12" s="824"/>
      <c r="C12" s="1549" t="s">
        <v>303</v>
      </c>
      <c r="D12" s="1550"/>
      <c r="E12" s="734"/>
      <c r="F12" s="1533" t="s">
        <v>432</v>
      </c>
      <c r="G12" s="1534"/>
      <c r="H12" s="1534"/>
      <c r="I12" s="1534"/>
      <c r="J12" s="1535"/>
      <c r="K12" s="880"/>
      <c r="L12" s="1533" t="s">
        <v>433</v>
      </c>
      <c r="M12" s="1534"/>
      <c r="N12" s="1534"/>
      <c r="O12" s="1534"/>
      <c r="P12" s="744">
        <v>42</v>
      </c>
      <c r="Q12" s="880"/>
      <c r="R12" s="1533" t="s">
        <v>433</v>
      </c>
      <c r="S12" s="1534"/>
      <c r="T12" s="1534"/>
      <c r="U12" s="1534"/>
      <c r="V12" s="744">
        <v>168</v>
      </c>
      <c r="W12" s="880"/>
      <c r="X12" s="880"/>
      <c r="Y12" s="880"/>
      <c r="Z12" s="880"/>
      <c r="AA12" s="880"/>
      <c r="AB12" s="880"/>
      <c r="AC12" s="880"/>
    </row>
    <row r="13" spans="1:29" x14ac:dyDescent="0.3">
      <c r="A13" s="825" t="s">
        <v>434</v>
      </c>
      <c r="B13" s="826"/>
      <c r="C13" s="827" t="str">
        <f>IF('Pile Driving Data and Effects'!C21, "Summer","")</f>
        <v/>
      </c>
      <c r="D13" s="675"/>
      <c r="E13" s="646"/>
      <c r="F13" s="1521" t="s">
        <v>308</v>
      </c>
      <c r="G13" s="1522"/>
      <c r="H13" s="1522"/>
      <c r="I13" s="1522"/>
      <c r="J13" s="1523"/>
      <c r="K13" s="880"/>
      <c r="L13" s="1521" t="s">
        <v>308</v>
      </c>
      <c r="M13" s="1522"/>
      <c r="N13" s="1522"/>
      <c r="O13" s="1522"/>
      <c r="P13" s="1523"/>
      <c r="Q13" s="880"/>
      <c r="R13" s="1521" t="s">
        <v>308</v>
      </c>
      <c r="S13" s="1522"/>
      <c r="T13" s="1522"/>
      <c r="U13" s="1522"/>
      <c r="V13" s="1523"/>
      <c r="W13" s="880"/>
      <c r="X13" s="880"/>
      <c r="Y13" s="880"/>
      <c r="Z13" s="880"/>
      <c r="AA13" s="880"/>
      <c r="AB13" s="880"/>
      <c r="AC13" s="880"/>
    </row>
    <row r="14" spans="1:29" x14ac:dyDescent="0.3">
      <c r="A14" s="1526" t="s">
        <v>435</v>
      </c>
      <c r="B14" s="1527"/>
      <c r="C14" s="828">
        <f>'Pile Driving Data and Effects'!C20</f>
        <v>0</v>
      </c>
      <c r="D14" s="677"/>
      <c r="E14" s="646"/>
      <c r="F14" s="678" t="s">
        <v>311</v>
      </c>
      <c r="G14" s="679" t="s">
        <v>276</v>
      </c>
      <c r="H14" s="679" t="s">
        <v>277</v>
      </c>
      <c r="I14" s="679" t="s">
        <v>278</v>
      </c>
      <c r="J14" s="680" t="s">
        <v>312</v>
      </c>
      <c r="K14" s="880"/>
      <c r="L14" s="681" t="s">
        <v>311</v>
      </c>
      <c r="M14" s="679" t="s">
        <v>276</v>
      </c>
      <c r="N14" s="679" t="s">
        <v>277</v>
      </c>
      <c r="O14" s="679" t="s">
        <v>278</v>
      </c>
      <c r="P14" s="747" t="s">
        <v>312</v>
      </c>
      <c r="Q14" s="880"/>
      <c r="R14" s="681" t="s">
        <v>311</v>
      </c>
      <c r="S14" s="679" t="s">
        <v>276</v>
      </c>
      <c r="T14" s="679" t="s">
        <v>277</v>
      </c>
      <c r="U14" s="679" t="s">
        <v>278</v>
      </c>
      <c r="V14" s="680" t="s">
        <v>312</v>
      </c>
      <c r="W14" s="880"/>
      <c r="X14" s="880"/>
      <c r="Y14" s="880"/>
      <c r="Z14" s="880"/>
      <c r="AA14" s="880"/>
      <c r="AB14" s="880"/>
      <c r="AC14" s="880"/>
    </row>
    <row r="15" spans="1:29" x14ac:dyDescent="0.3">
      <c r="A15" s="1528" t="s">
        <v>436</v>
      </c>
      <c r="B15" s="1518"/>
      <c r="C15" s="828">
        <f>'Pile Driving Data and Effects'!C21</f>
        <v>0</v>
      </c>
      <c r="D15" s="677"/>
      <c r="E15" s="646"/>
      <c r="F15" s="682" t="s">
        <v>310</v>
      </c>
      <c r="G15" s="348" t="str">
        <f>IF(AND($C$13="Summer",$C$14=1,$C$20="No"),(1-(1-(1-(EXP(-(($B$33*($C$25-$C$27))/$B$29)))))^$C$16),"")</f>
        <v/>
      </c>
      <c r="H15" s="348" t="str">
        <f>IF(AND($C$13="Summer",$C$14=1,$C$20="No"),(1-(1-(1-(EXP(-(($C$33*($C$25-$C$27))/$B$29)))))^$C$16),"")</f>
        <v/>
      </c>
      <c r="I15" s="348" t="str">
        <f>IF(AND($C$13="Summer",$C$14=1,$C$20="No"),(1-(1-(1-(EXP(-(($D$33*($C$25-$C$27))/$B$29)))))^$C$16),"")</f>
        <v/>
      </c>
      <c r="J15" s="1512">
        <v>1</v>
      </c>
      <c r="K15" s="880"/>
      <c r="L15" s="682" t="s">
        <v>310</v>
      </c>
      <c r="M15" s="348" t="str">
        <f>IF(AND($C$13="Summer",$C$14=1,$C$20="No"),(1-(1-((1-(EXP((-($B$33*(($P$12^2*PI()/1000000))/$B$29)))))))^$C$16),"")</f>
        <v/>
      </c>
      <c r="N15" s="348" t="str">
        <f>IF(AND($C$13="Summer",$C$14=1,$C$20="No"),(1-(1-((1-(EXP((-($C$33*(($P$12^2*PI()/1000000))/$B$29)))))))^$C$16),"")</f>
        <v/>
      </c>
      <c r="O15" s="348" t="str">
        <f>IF(AND($C$13="Summer",$C$14=1,$C$20="No"),(1-(1-((1-(EXP((-($D$33*(($P$12^2*PI()/1000000))/$B$29)))))))^$C$16),"")</f>
        <v/>
      </c>
      <c r="P15" s="1512">
        <v>1</v>
      </c>
      <c r="Q15" s="880"/>
      <c r="R15" s="682" t="s">
        <v>310</v>
      </c>
      <c r="S15" s="348" t="str">
        <f>IF(AND($C$13="Summer",$C$14=1,$C$20="No"),(1-(1-((1-(EXP((-($B$33*(($V$12^2*PI()/1000000))/$B$29)))))))^$C$16),"")</f>
        <v/>
      </c>
      <c r="T15" s="348" t="str">
        <f>IF(AND($C$13="Summer",$C$14=1,$C$20="No"),(1-(1-((1-(EXP((-($C$33*(($V$12^2*PI()/1000000))/$B$29)))))))^$C$16),"")</f>
        <v/>
      </c>
      <c r="U15" s="348" t="str">
        <f>IF(AND($C$13="Summer",$C$14=1,$C$20="No"),(1-(1-((1-(EXP((-($D$33*(($V$12^2*PI()/1000000))/$B$29)))))))^$C$16),"")</f>
        <v/>
      </c>
      <c r="V15" s="1512">
        <v>1</v>
      </c>
      <c r="W15" s="880"/>
      <c r="X15" s="880"/>
      <c r="Y15" s="880"/>
      <c r="Z15" s="880"/>
      <c r="AA15" s="880"/>
      <c r="AB15" s="880"/>
      <c r="AC15" s="880"/>
    </row>
    <row r="16" spans="1:29" ht="14.4" thickBot="1" x14ac:dyDescent="0.35">
      <c r="A16" s="832" t="s">
        <v>437</v>
      </c>
      <c r="B16" s="833"/>
      <c r="C16" s="834" t="e">
        <f>ROUNDUP(('Pile Driving Data and Effects'!$C$21/'Pile Driving Data and Effects'!$C$13),0)</f>
        <v>#DIV/0!</v>
      </c>
      <c r="D16" s="675"/>
      <c r="E16" s="646"/>
      <c r="F16" s="683" t="s">
        <v>315</v>
      </c>
      <c r="G16" s="349" t="str">
        <f>IF(AND($C$13="Summer",$C$14=1,$C$20="Yes"),(1-(1-(1-(EXP(-(1-$C$21)*($B$33*($C$25-$C$27))/$B$29))))^$C$16),"")</f>
        <v/>
      </c>
      <c r="H16" s="349" t="str">
        <f>IF(AND($C$13="Summer",$C$14=1,$C$20="Yes"),(1-(1-(1-(EXP(-(1-$C$21)*($C$33*($C$25-$C$27))/$B$29))))^$C$16),"")</f>
        <v/>
      </c>
      <c r="I16" s="349" t="str">
        <f>IF(AND($C$13="Summer",$C$14=1,$C$20="Yes"),(1-(1-(1-(EXP(-(1-$C$21)*($D$33*($C$25-$C$27))/$B$29))))^$C$16),"")</f>
        <v/>
      </c>
      <c r="J16" s="1514"/>
      <c r="K16" s="880"/>
      <c r="L16" s="683" t="s">
        <v>315</v>
      </c>
      <c r="M16" s="349" t="str">
        <f>IF(AND($C$13="Summer",$C$14=1,$C$20="Yes"),(1-(1-((1-(EXP((-(1-$C$21)*($B$33/$B$29*((($P$12^2)*PI()/1000000)))))))))^$C$16),"")</f>
        <v/>
      </c>
      <c r="N16" s="349" t="str">
        <f>IF(AND($C$13="Summer",$C$14=1,$C$20="Yes"),(1-(1-((1-(EXP((-(1-$C$21)*($C$33/$B$29*((($P$12^2)*PI()/1000000)))))))))^$C$16),"")</f>
        <v/>
      </c>
      <c r="O16" s="349" t="str">
        <f>IF(AND($C$13="Summer",$C$14=1,$C$20="Yes"),(1-(1-((1-(EXP((-(1-$C$21)*($D$33/$B$29*((($P$12^2)*PI()/1000000)))))))))^$C$16),"")</f>
        <v/>
      </c>
      <c r="P16" s="1514"/>
      <c r="Q16" s="880"/>
      <c r="R16" s="683" t="s">
        <v>315</v>
      </c>
      <c r="S16" s="349" t="str">
        <f>IF(AND($C$13="Summer",$C$14=1,$C$20="Yes"),(1-(1-((1-(EXP((-(1-$C$21)*($B$33/$B$29*((($V$12^2)*PI()/1000000)))))))))^$C$16),"")</f>
        <v/>
      </c>
      <c r="T16" s="349" t="str">
        <f>IF(AND($C$13="Summer",$C$14=1,$C$20="Yes"),(1-(1-((1-(EXP((-(1-$C$21)*($C$33/$B$29*((($V$12^2)*PI()/1000000)))))))))^$C$16),"")</f>
        <v/>
      </c>
      <c r="U16" s="349" t="str">
        <f>IF(AND($C$13="Summer",$C$14=1,$C$20="Yes"),(1-(1-((1-(EXP((-(1-$C$21)*($D$33/$B$29*((($V$12^2)*PI()/1000000)))))))))^$C$16),"")</f>
        <v/>
      </c>
      <c r="V16" s="1514"/>
      <c r="W16" s="880"/>
      <c r="X16" s="880"/>
      <c r="Y16" s="880"/>
      <c r="Z16" s="880"/>
      <c r="AA16" s="880"/>
      <c r="AB16" s="880"/>
      <c r="AC16" s="880"/>
    </row>
    <row r="17" spans="1:29" x14ac:dyDescent="0.3">
      <c r="A17" s="1515" t="s">
        <v>438</v>
      </c>
      <c r="B17" s="1516"/>
      <c r="C17" s="829" t="str">
        <f>IF('Pile Driving Data and Effects'!C22,"Winter","")</f>
        <v/>
      </c>
      <c r="D17" s="675"/>
      <c r="E17" s="646"/>
      <c r="F17" s="682" t="s">
        <v>310</v>
      </c>
      <c r="G17" s="348" t="str">
        <f>IF(AND($C$13="Summer",$C$14=2,$C$20="No"),(1-(1-(1-(EXP(-(($B$34*($C$25-$C$27))/$B$29)))))^$C$16),"")</f>
        <v/>
      </c>
      <c r="H17" s="348" t="str">
        <f>IF(AND($C$13="Summer",$C$14=2,$C$20="No"),(1-(1-(1-(EXP(-(($C$34*($C$25-$C$27))/$B$29)))))^$C$16),"")</f>
        <v/>
      </c>
      <c r="I17" s="348" t="str">
        <f>IF(AND($C$13="Summer",$C$14=2,$C$20="No"),(1-(1-(1-(EXP(-(($D$34*($C$25-$C$27))/$B$29)))))^$C$16),"")</f>
        <v/>
      </c>
      <c r="J17" s="1519">
        <v>2</v>
      </c>
      <c r="K17" s="880"/>
      <c r="L17" s="682" t="s">
        <v>310</v>
      </c>
      <c r="M17" s="348" t="str">
        <f>IF(AND($C$13="Summer",$C$14=2,$C$20="No"),(1-(1-((1-(EXP((-($B$34*(($P$12^2*PI()/1000000))/$B$29)))))))^$C$16),"")</f>
        <v/>
      </c>
      <c r="N17" s="348" t="str">
        <f>IF(AND($C$13="Summer",$C$14=2,$C$20="No"),(1-(1-((1-(EXP((-($C$34*(($P$12^2*PI()/1000000))/$B$29)))))))^$C$16),"")</f>
        <v/>
      </c>
      <c r="O17" s="348" t="str">
        <f>IF(AND($C$13="Summer",$C$14=2,$C$20="No"),(1-(1-((1-(EXP((-($D$34*(($P$12^2*PI()/1000000))/$B$29)))))))^$C$16),"")</f>
        <v/>
      </c>
      <c r="P17" s="1519">
        <v>2</v>
      </c>
      <c r="Q17" s="880"/>
      <c r="R17" s="682" t="s">
        <v>310</v>
      </c>
      <c r="S17" s="348" t="str">
        <f>IF(AND($C$13="Summer",$C$14=2,$C$20="No"),(1-(1-((1-(EXP((-($B$34*(($V$12^2*PI()/1000000))/$B$29)))))))^$C$16),"")</f>
        <v/>
      </c>
      <c r="T17" s="348" t="str">
        <f>IF(AND($C$13="Summer",$C$14=2,$C$20="No"),(1-(1-((1-(EXP((-($C$34*(($V$12^2*PI()/1000000))/$B$29)))))))^$C$16),"")</f>
        <v/>
      </c>
      <c r="U17" s="348" t="str">
        <f>IF(AND($C$13="Summer",$C$14=2,$C$20="No"),(1-(1-((1-(EXP((-($D$34*(($V$12^2*PI()/1000000))/$B$29)))))))^$C$16),"")</f>
        <v/>
      </c>
      <c r="V17" s="1519">
        <v>2</v>
      </c>
      <c r="W17" s="880"/>
      <c r="X17" s="880"/>
      <c r="Y17" s="880"/>
      <c r="Z17" s="880"/>
      <c r="AA17" s="880"/>
      <c r="AB17" s="880"/>
      <c r="AC17" s="880"/>
    </row>
    <row r="18" spans="1:29" x14ac:dyDescent="0.3">
      <c r="A18" s="1517" t="s">
        <v>439</v>
      </c>
      <c r="B18" s="1518"/>
      <c r="C18" s="829" cm="1">
        <f t="array" ref="C18:D18">'Pile Driving Data and Effects'!C22:D22</f>
        <v>0</v>
      </c>
      <c r="D18" s="675">
        <v>0</v>
      </c>
      <c r="E18" s="646"/>
      <c r="F18" s="683" t="s">
        <v>315</v>
      </c>
      <c r="G18" s="349" t="str">
        <f>IF(AND($C$13="Summer",$C$14=2,$C$20="Yes"),(1-(1-(1-(EXP(-(1-$C$21)*($B$34*($C$25-$C$27))/$B$29))))^$C$16),"")</f>
        <v/>
      </c>
      <c r="H18" s="349" t="str">
        <f>IF(AND($C$13="Summer",$C$14=2,$C$20="Yes"),(1-(1-(1-(EXP(-(1-$C$21)*($C$34*($C$25-$C$27))/$B$29))))^$C$16),"")</f>
        <v/>
      </c>
      <c r="I18" s="349" t="str">
        <f>IF(AND($C$13="Summer",$C$14=2,$C$20="Yes"),(1-(1-(1-(EXP(-(1-$C$21)*($D$34*($C$25-$C$27))/$B$29))))^$C$16),"")</f>
        <v/>
      </c>
      <c r="J18" s="1520"/>
      <c r="K18" s="880"/>
      <c r="L18" s="683" t="s">
        <v>315</v>
      </c>
      <c r="M18" s="349" t="str">
        <f>IF(AND($C$13="Summer",$C$14=2,$C$20="Yes"),(1-(1-((1-(EXP((-(1-$C$21)*($B$34/$B$29*((($P$12^2)*PI()/1000000)))))))))^$C$16),"")</f>
        <v/>
      </c>
      <c r="N18" s="349" t="str">
        <f>IF(AND($C$13="Summer",$C$14=2,$C$20="Yes"),(1-(1-((1-(EXP((-(1-$C$21)*($C$34/$B$29*((($P$12^2)*PI()/1000000)))))))))^$C$16),"")</f>
        <v/>
      </c>
      <c r="O18" s="349" t="str">
        <f>IF(AND($C$13="Summer",$C$14=2,$C$20="Yes"),(1-(1-((1-(EXP((-(1-$C$21)*($D$34/$B$29*((($P$12^2)*PI()/1000000)))))))))^$C$16),"")</f>
        <v/>
      </c>
      <c r="P18" s="1520"/>
      <c r="Q18" s="880"/>
      <c r="R18" s="683" t="s">
        <v>315</v>
      </c>
      <c r="S18" s="349" t="str">
        <f>IF(AND($C$13="Summer",$C$14=2,$C$20="Yes"),(1-(1-((1-(EXP((-(1-$C$21)*($B$34/$B$29*((($V$12^2)*PI()/1000000)))))))))^$C$16),"")</f>
        <v/>
      </c>
      <c r="T18" s="349" t="str">
        <f>IF(AND($C$13="Summer",$C$14=2,$C$20="Yes"),(1-(1-((1-(EXP((-(1-$C$21)*($C$34/$B$29*((($V$12^2)*PI()/1000000)))))))))^$C$16),"")</f>
        <v/>
      </c>
      <c r="U18" s="349" t="str">
        <f>IF(AND($C$13="Summer",$C$14=2,$C$20="Yes"),(1-(1-((1-(EXP((-(1-$C$21)*($D$34/$B$29*((($V$12^2)*PI()/1000000)))))))))^$C$16),"")</f>
        <v/>
      </c>
      <c r="V18" s="1520"/>
      <c r="W18" s="880"/>
      <c r="X18" s="880"/>
      <c r="Y18" s="880"/>
      <c r="Z18" s="880"/>
      <c r="AA18" s="880"/>
      <c r="AB18" s="880"/>
      <c r="AC18" s="880"/>
    </row>
    <row r="19" spans="1:29" ht="14.4" thickBot="1" x14ac:dyDescent="0.35">
      <c r="A19" s="830" t="s">
        <v>440</v>
      </c>
      <c r="B19" s="831"/>
      <c r="C19" s="834" t="e">
        <f>ROUNDUP(('Pile Driving Data and Effects'!$C$22/'Pile Driving Data and Effects'!$C$13),0)</f>
        <v>#DIV/0!</v>
      </c>
      <c r="D19" s="675"/>
      <c r="E19" s="739"/>
      <c r="F19" s="686" t="s">
        <v>310</v>
      </c>
      <c r="G19" s="348" t="str">
        <f>IF(AND($C$13="Summer",$C$14=3,$C$20="No"),(1-(1-(1-(EXP(-(($B$35*($C$25-$C$27))/$B$29)))))^$C$16),"")</f>
        <v/>
      </c>
      <c r="H19" s="348" t="str">
        <f>IF(AND($C$13="Summer",$C$14=3,$C$20="No"),(1-(1-(1-(EXP(-(($C$35*($C$25-$C$27))/$B$29)))))^$C$16),"")</f>
        <v/>
      </c>
      <c r="I19" s="348" t="str">
        <f>IF(AND($C$13="Summer",$C$14=3,$C$20="No"),(1-(1-(1-(EXP(-(($D$35*($C$25-$C$27))/$B$29)))))^$C$16),"")</f>
        <v/>
      </c>
      <c r="J19" s="1512">
        <v>3</v>
      </c>
      <c r="K19" s="880"/>
      <c r="L19" s="686" t="s">
        <v>310</v>
      </c>
      <c r="M19" s="348" t="str">
        <f>IF(AND($C$13="Summer",$C$14=3,$C$20="No"),(1-(1-((1-(EXP((-($B$35*(($P$12^2*PI()/1000000))/$B$29)))))))^$C$16),"")</f>
        <v/>
      </c>
      <c r="N19" s="348" t="str">
        <f>IF(AND($C$13="Summer",$C$14=3,$C$20="No"),(1-(1-((1-(EXP((-($C$35*(($P$12^2*PI()/1000000))/$B$29)))))))^$C$16),"")</f>
        <v/>
      </c>
      <c r="O19" s="348" t="str">
        <f>IF(AND($C$13="Summer",$C$14=3,$C$20="No"),(1-(1-((1-(EXP((-($D$35*(($P$12^2*PI()/1000000))/$B$29)))))))^$C$16),"")</f>
        <v/>
      </c>
      <c r="P19" s="1512">
        <v>3</v>
      </c>
      <c r="Q19" s="880"/>
      <c r="R19" s="686" t="s">
        <v>310</v>
      </c>
      <c r="S19" s="348" t="str">
        <f>IF(AND($C$13="Summer",$C$14=3,$C$20="No"),(1-(1-((1-(EXP((-($B$35*(($V$12^2*PI()/1000000))/$B$29)))))))^$C$16),"")</f>
        <v/>
      </c>
      <c r="T19" s="348" t="str">
        <f>IF(AND($C$13="Summer",$C$14=3,$C$20="No"),(1-(1-((1-(EXP((-($C$35*(($V$12^2*PI()/1000000))/$B$29)))))))^$C$16),"")</f>
        <v/>
      </c>
      <c r="U19" s="348" t="str">
        <f>IF(AND($C$13="Summer",$C$14=3,$C$20="No"),(1-(1-((1-(EXP((-($D$35*(($V$12^2*PI()/1000000))/$B$29)))))))^$C$16),"")</f>
        <v/>
      </c>
      <c r="V19" s="1512">
        <v>3</v>
      </c>
      <c r="W19" s="880"/>
      <c r="X19" s="880"/>
      <c r="Y19" s="880"/>
      <c r="Z19" s="880"/>
      <c r="AA19" s="880"/>
      <c r="AB19" s="880"/>
      <c r="AC19" s="880"/>
    </row>
    <row r="20" spans="1:29" x14ac:dyDescent="0.3">
      <c r="A20" s="1529" t="s">
        <v>309</v>
      </c>
      <c r="B20" s="1516"/>
      <c r="C20" s="1034" cm="1">
        <f t="array" ref="C20:D20">'Pile Driving Data and Effects'!C23:D23</f>
        <v>0</v>
      </c>
      <c r="D20" s="677">
        <v>0</v>
      </c>
      <c r="E20" s="646"/>
      <c r="F20" s="687" t="s">
        <v>315</v>
      </c>
      <c r="G20" s="349" t="str">
        <f>IF(AND($C$13="Summer",$C$14=3,$C$20="Yes"),(1-(1-(1-(EXP(-(1-$C$21)*($B$35*($C$25-$C$27))/$B$29))))^$C$16),"")</f>
        <v/>
      </c>
      <c r="H20" s="349" t="str">
        <f>IF(AND($C$13="Summer",$C$14=3,$C$20="Yes"),(1-(1-(1-(EXP(-(1-$C$21)*($C$35*($C$25-$C$27))/$B$29))))^$C$16),"")</f>
        <v/>
      </c>
      <c r="I20" s="349" t="str">
        <f>IF(AND($C$13="Summer",$C$14=3,$C$20="Yes"),(1-(1-(1-(EXP(-(1-$C$21)*($D$35*($C$25-$C$27))/$B$29))))^$C$16),"")</f>
        <v/>
      </c>
      <c r="J20" s="1513"/>
      <c r="K20" s="880"/>
      <c r="L20" s="687" t="s">
        <v>315</v>
      </c>
      <c r="M20" s="349" t="str">
        <f>IF(AND($C$13="Summer",$C$14=3,$C$20="Yes"),(1-(1-((1-(EXP((-(1-$C$21)*($B$35/$B$29*((($P$12^2)*PI()/1000000)))))))))^$C$16),"")</f>
        <v/>
      </c>
      <c r="N20" s="349" t="str">
        <f>IF(AND($C$13="Summer",$C$14=3,$C$20="Yes"),(1-(1-((1-(EXP((-(1-$C$21)*($C$35/$B$29*((($P$12^2)*PI()/1000000)))))))))^$C$16),"")</f>
        <v/>
      </c>
      <c r="O20" s="349" t="str">
        <f>IF(AND($C$13="Summer",$C$14=3,$C$20="Yes"),(1-(1-((1-(EXP((-(1-$C$21)*($D$35/$B$29*((($P$12^2)*PI()/1000000)))))))))^$C$16),"")</f>
        <v/>
      </c>
      <c r="P20" s="1513"/>
      <c r="Q20" s="880"/>
      <c r="R20" s="687" t="s">
        <v>315</v>
      </c>
      <c r="S20" s="349" t="str">
        <f>IF(AND($C$13="Summer",$C$14=3,$C$20="Yes"),(1-(1-((1-(EXP((-(1-$C$21)*($B$35/$B$29*((($V$12^2)*PI()/1000000)))))))))^$C$16),"")</f>
        <v/>
      </c>
      <c r="T20" s="349" t="str">
        <f>IF(AND($C$13="Summer",$C$14=3,$C$20="Yes"),(1-(1-((1-(EXP((-(1-$C$21)*($C$35/$B$29*((($V$12^2)*PI()/1000000)))))))))^$C$16),"")</f>
        <v/>
      </c>
      <c r="U20" s="349" t="str">
        <f>IF(AND($C$13="Summer",$C$14=3,$C$20="Yes"),(1-(1-((1-(EXP((-(1-$C$21)*($D$35/$B$29*((($V$12^2)*PI()/1000000)))))))))^$C$16),"")</f>
        <v/>
      </c>
      <c r="V20" s="1513"/>
      <c r="W20" s="880"/>
      <c r="X20" s="880"/>
      <c r="Y20" s="880"/>
      <c r="Z20" s="880"/>
      <c r="AA20" s="880"/>
      <c r="AB20" s="880"/>
      <c r="AC20" s="880"/>
    </row>
    <row r="21" spans="1:29" x14ac:dyDescent="0.3">
      <c r="A21" s="1556" t="s">
        <v>441</v>
      </c>
      <c r="B21" s="1557"/>
      <c r="C21" s="684">
        <v>0.78</v>
      </c>
      <c r="D21" s="685"/>
      <c r="E21" s="646"/>
      <c r="F21" s="1551" t="s">
        <v>324</v>
      </c>
      <c r="G21" s="1552"/>
      <c r="H21" s="1552"/>
      <c r="I21" s="1552"/>
      <c r="J21" s="1553"/>
      <c r="K21" s="880"/>
      <c r="L21" s="1551" t="s">
        <v>324</v>
      </c>
      <c r="M21" s="1552"/>
      <c r="N21" s="1552"/>
      <c r="O21" s="1552"/>
      <c r="P21" s="1553"/>
      <c r="Q21" s="880"/>
      <c r="R21" s="1551" t="s">
        <v>324</v>
      </c>
      <c r="S21" s="1552"/>
      <c r="T21" s="1552"/>
      <c r="U21" s="1552"/>
      <c r="V21" s="1553"/>
      <c r="W21" s="880"/>
      <c r="X21" s="880"/>
      <c r="Y21" s="880"/>
      <c r="Z21" s="880"/>
      <c r="AA21" s="880"/>
      <c r="AB21" s="880"/>
      <c r="AC21" s="880"/>
    </row>
    <row r="22" spans="1:29" x14ac:dyDescent="0.3">
      <c r="A22" s="1558" t="s">
        <v>442</v>
      </c>
      <c r="B22" s="1518"/>
      <c r="C22" s="676">
        <f>'Pile Driving Data and Effects'!C22</f>
        <v>0</v>
      </c>
      <c r="D22" s="677" t="s">
        <v>443</v>
      </c>
      <c r="E22" s="646"/>
      <c r="F22" s="678" t="s">
        <v>311</v>
      </c>
      <c r="G22" s="691" t="s">
        <v>276</v>
      </c>
      <c r="H22" s="691" t="s">
        <v>277</v>
      </c>
      <c r="I22" s="691" t="s">
        <v>278</v>
      </c>
      <c r="J22" s="692" t="s">
        <v>312</v>
      </c>
      <c r="K22" s="880"/>
      <c r="L22" s="693" t="s">
        <v>311</v>
      </c>
      <c r="M22" s="691" t="s">
        <v>276</v>
      </c>
      <c r="N22" s="691" t="s">
        <v>277</v>
      </c>
      <c r="O22" s="691" t="s">
        <v>278</v>
      </c>
      <c r="P22" s="747" t="s">
        <v>312</v>
      </c>
      <c r="Q22" s="880"/>
      <c r="R22" s="693" t="s">
        <v>311</v>
      </c>
      <c r="S22" s="691" t="s">
        <v>276</v>
      </c>
      <c r="T22" s="691" t="s">
        <v>277</v>
      </c>
      <c r="U22" s="691" t="s">
        <v>278</v>
      </c>
      <c r="V22" s="692" t="s">
        <v>312</v>
      </c>
      <c r="W22" s="880"/>
      <c r="X22" s="880"/>
      <c r="Y22" s="880"/>
      <c r="Z22" s="880"/>
      <c r="AA22" s="880"/>
      <c r="AB22" s="880"/>
      <c r="AC22" s="880"/>
    </row>
    <row r="23" spans="1:29" x14ac:dyDescent="0.3">
      <c r="A23" s="992" t="s">
        <v>444</v>
      </c>
      <c r="B23" s="990"/>
      <c r="C23" s="676" t="e">
        <f>ROUNDUP((('Pile Driving Data and Effects'!$C$21+'Pile Driving Data and Effects'!$C$22)/'Pile Driving Data and Effects'!$C$13),0)</f>
        <v>#DIV/0!</v>
      </c>
      <c r="D23" s="677"/>
      <c r="E23" s="652"/>
      <c r="F23" s="682" t="s">
        <v>310</v>
      </c>
      <c r="G23" s="348" t="str">
        <f>IF(AND($C$17="Winter",$C$20="No"),(1-(1-(1-(EXP(-(($B$41*($C$25-$C$27))/$B$42)))))^$C$19),"")</f>
        <v/>
      </c>
      <c r="H23" s="348" t="str">
        <f>IF(AND($C$17="Winter",$C$20="No"),(1-(1-(1-(EXP(-(($C$41*($C$25-$C$27))/$B$42)))))^$C$19),"")</f>
        <v/>
      </c>
      <c r="I23" s="348" t="str">
        <f>IF(AND($C$17="Winter",$C$20="No"),(1-(1-(1-(EXP(-(($D$41*($C$25-$C$27))/$B$42)))))^$C$19),"")</f>
        <v/>
      </c>
      <c r="J23" s="988" t="s">
        <v>329</v>
      </c>
      <c r="K23" s="880"/>
      <c r="L23" s="682" t="s">
        <v>310</v>
      </c>
      <c r="M23" s="348" t="str">
        <f>IF(AND($C$17="Winter",$C$20="No"),(1-(1-((1-(EXP((-($B$41*(($P$12^2*PI()/1000000))/$B$42)))))))^$C$19),"")</f>
        <v/>
      </c>
      <c r="N23" s="348" t="str">
        <f>IF(AND($C$17="Winter",$C$20="No"),(1-(1-((1-(EXP((-($C$41*(($P$12^2*PI()/1000000))/$B$42)))))))^$C$19),"")</f>
        <v/>
      </c>
      <c r="O23" s="348" t="str">
        <f>IF(AND($C$17="Winter",$C$20="No"),(1-(1-((1-(EXP((-($D$41*(($P$12^2*PI()/1000000))/$B$42)))))))^$C$19),"")</f>
        <v/>
      </c>
      <c r="P23" s="988" t="s">
        <v>329</v>
      </c>
      <c r="Q23" s="880"/>
      <c r="R23" s="682" t="s">
        <v>310</v>
      </c>
      <c r="S23" s="348" t="str">
        <f>IF(AND($C$17="Winter",$C$20="No"),(1-(1-((1-(EXP((-($B$41*(($V$12^2*PI()/1000000))/$B$42)))))))^$C$19),"")</f>
        <v/>
      </c>
      <c r="T23" s="348" t="str">
        <f>IF(AND($C$17="Winter",$C$20="No"),(1-(1-((1-(EXP((-($C$41*(($V$12^2*PI()/1000000))/$B$42)))))))^$C$19),"")</f>
        <v/>
      </c>
      <c r="U23" s="348" t="str">
        <f>IF(AND($C$17="Winter",$C$20="No"),(1-(1-((1-(EXP((-($D$41*(($V$12^2*PI()/1000000))/$B$42)))))))^$C$19),"")</f>
        <v/>
      </c>
      <c r="V23" s="988" t="s">
        <v>329</v>
      </c>
      <c r="W23" s="880"/>
      <c r="X23" s="880"/>
      <c r="Y23" s="880"/>
      <c r="Z23" s="880"/>
      <c r="AA23" s="880"/>
      <c r="AB23" s="880"/>
      <c r="AC23" s="880"/>
    </row>
    <row r="24" spans="1:29" ht="14.4" thickBot="1" x14ac:dyDescent="0.35">
      <c r="A24" s="1529" t="s">
        <v>445</v>
      </c>
      <c r="B24" s="1516"/>
      <c r="C24" s="688" t="e">
        <f>'Pile Driving Data and Effects'!I23</f>
        <v>#N/A</v>
      </c>
      <c r="D24" s="677" t="s">
        <v>67</v>
      </c>
      <c r="E24" s="646"/>
      <c r="F24" s="697" t="s">
        <v>315</v>
      </c>
      <c r="G24" s="350" t="str">
        <f>IF(AND($C$17="Winter",$C$20="Yes"),(1-(1-(1-(EXP(-(1-$C$21)*($B$41*($C$25-$C$27))/$B$42))))^$C$19),"")</f>
        <v/>
      </c>
      <c r="H24" s="350" t="str">
        <f>IF(AND($C$17="Winter",$C$20="Yes"),(1-(1-(1-(EXP(-(1-$C$21)*($C$41*($C$25-$C$27))/$B$42))))^$C$19),"")</f>
        <v/>
      </c>
      <c r="I24" s="350" t="str">
        <f>IF(AND($C$17="Winter",$C$20="Yes"),(1-(1-(1-(EXP(-(1-$C$21)*($D$41*($C$25-$C$27))/$B$42))))^$C$19),"")</f>
        <v/>
      </c>
      <c r="J24" s="698" t="s">
        <v>329</v>
      </c>
      <c r="K24" s="880"/>
      <c r="L24" s="697" t="s">
        <v>315</v>
      </c>
      <c r="M24" s="350" t="str">
        <f>IF(AND($C$17="Winter",$C$20="Yes"),(1-(1-((1-(EXP((-(1-$C$21)*($B$41/$B$42*((($P$12^2)*PI()/1000000)))))))))^$C$19),"")</f>
        <v/>
      </c>
      <c r="N24" s="350" t="str">
        <f>IF(AND($C$17="Winter",$C$20="Yes"),(1-(1-((1-(EXP((-(1-$C$21)*($C$41/$B$42*((($P$12^2)*PI()/1000000)))))))))^$C$19),"")</f>
        <v/>
      </c>
      <c r="O24" s="350" t="str">
        <f>IF(AND($C$17="Winter",$C$20="Yes"),(1-(1-((1-(EXP((-(1-$C$21)*($D$41/$B$42*((($P$12^2)*PI()/1000000)))))))))^$C$19),"")</f>
        <v/>
      </c>
      <c r="P24" s="698" t="s">
        <v>329</v>
      </c>
      <c r="Q24" s="880"/>
      <c r="R24" s="697" t="s">
        <v>315</v>
      </c>
      <c r="S24" s="350" t="str">
        <f>IF(AND($C$17="Winter",$C$20="Yes"),(1-(1-((1-(EXP((-(1-$C$21)*($B$41/$B$42*((($V$12^2)*PI()/1000000)))))))))^$C$19),"")</f>
        <v/>
      </c>
      <c r="T24" s="350" t="str">
        <f>IF(AND($C$17="Winter",$C$20="Yes"),(1-(1-((1-(EXP((-(1-$C$21)*($C$41/$B$42*((($V$12^2)*PI()/1000000)))))))))^$C$19),"")</f>
        <v/>
      </c>
      <c r="U24" s="350" t="str">
        <f>IF(AND($C$17="Winter",$C$20="Yes"),(1-(1-((1-(EXP((-(1-$C$21)*($D$41/$B$42*((($V$12^2)*PI()/1000000)))))))))^$C$19),"")</f>
        <v/>
      </c>
      <c r="V24" s="698" t="s">
        <v>329</v>
      </c>
      <c r="W24" s="880"/>
      <c r="X24" s="880"/>
      <c r="Y24" s="880"/>
      <c r="Z24" s="880"/>
      <c r="AA24" s="880"/>
      <c r="AB24" s="880"/>
      <c r="AC24" s="880"/>
    </row>
    <row r="25" spans="1:29" s="425" customFormat="1" ht="15.75" customHeight="1" x14ac:dyDescent="0.3">
      <c r="A25" s="991" t="s">
        <v>446</v>
      </c>
      <c r="B25" s="989"/>
      <c r="C25" s="689" t="e">
        <f>'Pile Driving Data and Effects'!L23</f>
        <v>#N/A</v>
      </c>
      <c r="D25" s="690" t="s">
        <v>447</v>
      </c>
      <c r="E25" s="646"/>
      <c r="F25" s="745"/>
      <c r="G25" s="746"/>
      <c r="H25" s="746"/>
      <c r="I25" s="746"/>
      <c r="J25" s="647"/>
      <c r="K25" s="758"/>
      <c r="L25" s="745"/>
      <c r="M25" s="746"/>
      <c r="N25" s="746"/>
      <c r="O25" s="746"/>
      <c r="P25" s="647"/>
      <c r="Q25" s="758"/>
      <c r="R25" s="745"/>
      <c r="S25" s="746"/>
      <c r="T25" s="746"/>
      <c r="U25" s="746"/>
      <c r="V25" s="647"/>
    </row>
    <row r="26" spans="1:29" s="289" customFormat="1" ht="21" customHeight="1" thickBot="1" x14ac:dyDescent="0.35">
      <c r="A26" s="1554" t="s">
        <v>448</v>
      </c>
      <c r="B26" s="1555"/>
      <c r="C26" s="694">
        <f>'Pile Driving Data and Effects'!C24</f>
        <v>0</v>
      </c>
      <c r="D26" s="695"/>
      <c r="E26" s="345"/>
      <c r="F26" s="1536" t="s">
        <v>449</v>
      </c>
      <c r="G26" s="1536"/>
      <c r="H26" s="1536"/>
      <c r="I26" s="1536"/>
      <c r="J26" s="1536"/>
      <c r="K26" s="1536"/>
      <c r="L26" s="1536"/>
      <c r="M26" s="1536"/>
      <c r="N26" s="1536"/>
      <c r="O26" s="1536"/>
      <c r="P26" s="1536"/>
      <c r="Q26" s="1536"/>
      <c r="R26" s="1536"/>
      <c r="S26" s="1536"/>
      <c r="T26" s="1536"/>
      <c r="U26" s="1536"/>
      <c r="V26" s="1536"/>
    </row>
    <row r="27" spans="1:29" ht="21" customHeight="1" thickBot="1" x14ac:dyDescent="0.35">
      <c r="A27" s="741" t="s">
        <v>450</v>
      </c>
      <c r="B27" s="742"/>
      <c r="C27" s="696" t="e">
        <f>C25*C26</f>
        <v>#N/A</v>
      </c>
      <c r="D27" s="743" t="s">
        <v>447</v>
      </c>
      <c r="E27" s="734"/>
      <c r="F27" s="1530" t="s">
        <v>430</v>
      </c>
      <c r="G27" s="1531"/>
      <c r="H27" s="1531"/>
      <c r="I27" s="1531"/>
      <c r="J27" s="1531"/>
      <c r="K27" s="1531"/>
      <c r="L27" s="1531"/>
      <c r="M27" s="1531"/>
      <c r="N27" s="1531"/>
      <c r="O27" s="1531"/>
      <c r="P27" s="1531"/>
      <c r="Q27" s="1531"/>
      <c r="R27" s="1531"/>
      <c r="S27" s="1531"/>
      <c r="T27" s="1531"/>
      <c r="U27" s="1531"/>
      <c r="V27" s="1532"/>
      <c r="W27" s="880"/>
      <c r="X27" s="880"/>
      <c r="Y27" s="880"/>
      <c r="Z27" s="880"/>
      <c r="AA27" s="880"/>
      <c r="AB27" s="880"/>
      <c r="AC27" s="880"/>
    </row>
    <row r="28" spans="1:29" ht="32.25" customHeight="1" thickBot="1" x14ac:dyDescent="0.35">
      <c r="A28" s="730"/>
      <c r="B28" s="731"/>
      <c r="C28" s="740"/>
      <c r="D28" s="646"/>
      <c r="E28" s="734"/>
      <c r="F28" s="1533" t="s">
        <v>432</v>
      </c>
      <c r="G28" s="1534"/>
      <c r="H28" s="1534"/>
      <c r="I28" s="1534"/>
      <c r="J28" s="1535"/>
      <c r="K28" s="880"/>
      <c r="L28" s="1533" t="s">
        <v>433</v>
      </c>
      <c r="M28" s="1534"/>
      <c r="N28" s="1534"/>
      <c r="O28" s="1534"/>
      <c r="P28" s="744">
        <v>42</v>
      </c>
      <c r="Q28" s="880"/>
      <c r="R28" s="1533" t="s">
        <v>433</v>
      </c>
      <c r="S28" s="1534"/>
      <c r="T28" s="1534"/>
      <c r="U28" s="1534"/>
      <c r="V28" s="744">
        <v>168</v>
      </c>
      <c r="W28" s="880"/>
      <c r="X28" s="880"/>
      <c r="Y28" s="880"/>
      <c r="Z28" s="880"/>
      <c r="AA28" s="880"/>
      <c r="AB28" s="880"/>
      <c r="AC28" s="880"/>
    </row>
    <row r="29" spans="1:29" ht="33.75" customHeight="1" thickBot="1" x14ac:dyDescent="0.35">
      <c r="A29" s="732" t="s">
        <v>451</v>
      </c>
      <c r="B29" s="1524">
        <v>1.72</v>
      </c>
      <c r="C29" s="1524"/>
      <c r="D29" s="1525"/>
      <c r="E29" s="734"/>
      <c r="F29" s="1521" t="s">
        <v>308</v>
      </c>
      <c r="G29" s="1522"/>
      <c r="H29" s="1522"/>
      <c r="I29" s="1522"/>
      <c r="J29" s="1523"/>
      <c r="K29" s="880"/>
      <c r="L29" s="1521" t="s">
        <v>308</v>
      </c>
      <c r="M29" s="1522"/>
      <c r="N29" s="1522"/>
      <c r="O29" s="1522"/>
      <c r="P29" s="1523"/>
      <c r="Q29" s="880"/>
      <c r="R29" s="1521" t="s">
        <v>308</v>
      </c>
      <c r="S29" s="1522"/>
      <c r="T29" s="1522"/>
      <c r="U29" s="1522"/>
      <c r="V29" s="1523"/>
      <c r="W29" s="880"/>
      <c r="X29" s="880"/>
      <c r="Y29" s="880"/>
      <c r="Z29" s="880"/>
      <c r="AA29" s="880"/>
      <c r="AB29" s="880"/>
      <c r="AC29" s="880"/>
    </row>
    <row r="30" spans="1:29" x14ac:dyDescent="0.3">
      <c r="A30" s="880"/>
      <c r="B30" s="880"/>
      <c r="C30" s="880"/>
      <c r="D30" s="880"/>
      <c r="E30" s="735"/>
      <c r="F30" s="681" t="s">
        <v>311</v>
      </c>
      <c r="G30" s="679" t="s">
        <v>276</v>
      </c>
      <c r="H30" s="679" t="s">
        <v>277</v>
      </c>
      <c r="I30" s="679" t="s">
        <v>278</v>
      </c>
      <c r="J30" s="680" t="s">
        <v>312</v>
      </c>
      <c r="K30" s="880"/>
      <c r="L30" s="681" t="s">
        <v>311</v>
      </c>
      <c r="M30" s="679" t="s">
        <v>276</v>
      </c>
      <c r="N30" s="679" t="s">
        <v>277</v>
      </c>
      <c r="O30" s="679" t="s">
        <v>278</v>
      </c>
      <c r="P30" s="680" t="s">
        <v>312</v>
      </c>
      <c r="Q30" s="880"/>
      <c r="R30" s="681" t="s">
        <v>311</v>
      </c>
      <c r="S30" s="679" t="s">
        <v>276</v>
      </c>
      <c r="T30" s="679" t="s">
        <v>277</v>
      </c>
      <c r="U30" s="679" t="s">
        <v>278</v>
      </c>
      <c r="V30" s="680" t="s">
        <v>312</v>
      </c>
      <c r="W30" s="880"/>
      <c r="X30" s="880"/>
      <c r="Y30" s="880"/>
      <c r="Z30" s="880"/>
      <c r="AA30" s="880"/>
      <c r="AB30" s="880"/>
      <c r="AC30" s="880"/>
    </row>
    <row r="31" spans="1:29" ht="15" customHeight="1" thickBot="1" x14ac:dyDescent="0.35">
      <c r="A31" s="726"/>
      <c r="B31" s="727"/>
      <c r="C31" s="727"/>
      <c r="D31" s="727"/>
      <c r="E31" s="735"/>
      <c r="F31" s="682" t="s">
        <v>310</v>
      </c>
      <c r="G31" s="348" t="str">
        <f>IF(AND($C$13="Summer",$C$14=1,$C$20="No"),(1-(1-(1-(EXP(-(($B$33*($C$25-$C$27))/$B$29)))))^$C$23),"")</f>
        <v/>
      </c>
      <c r="H31" s="348" t="str">
        <f>IF(AND($C$13="Summer",$C$14=1,$C$20="No"),(1-(1-(1-(EXP(-(($C$33*($C$25-$C$27))/$B$29)))))^$C$23),"")</f>
        <v/>
      </c>
      <c r="I31" s="348" t="str">
        <f>IF(AND($C$13="Summer",$C$14=1,$C$20="No"),(1-(1-(1-(EXP(-(($D$33*($C$25-$C$27))/$B$29)))))^$C$23),"")</f>
        <v/>
      </c>
      <c r="J31" s="1512">
        <v>1</v>
      </c>
      <c r="K31" s="880"/>
      <c r="L31" s="682" t="s">
        <v>310</v>
      </c>
      <c r="M31" s="348" t="str">
        <f>IF(AND($C$13="Summer",$C$14=1,$C$20="No"),(1-(1-((1-(EXP((-($B$33*(($P$12^2*PI()/1000000))/$B$29)))))))^$C$23),"")</f>
        <v/>
      </c>
      <c r="N31" s="348" t="str">
        <f>IF(AND($C$13="Summer",$C$14=1,$C$20="No"),(1-(1-((1-(EXP((-($C$33*(($P$12^2*PI()/1000000))/$B$29)))))))^$C$23),"")</f>
        <v/>
      </c>
      <c r="O31" s="348" t="str">
        <f>IF(AND($C$13="Summer",$C$14=1,$C$20="No"),(1-(1-((1-(EXP((-($D$33*(($P$12^2*PI()/1000000))/$B$29)))))))^$C$23),"")</f>
        <v/>
      </c>
      <c r="P31" s="1512">
        <v>1</v>
      </c>
      <c r="Q31" s="880"/>
      <c r="R31" s="682" t="s">
        <v>310</v>
      </c>
      <c r="S31" s="348" t="str">
        <f>IF(AND($C$13="Summer",$C$14=1,$C$20="No"),(1-(1-((1-(EXP((-($B$33*(($V$12^2*PI()/1000000))/$B$29)))))))^$C$23),"")</f>
        <v/>
      </c>
      <c r="T31" s="348" t="str">
        <f>IF(AND($C$13="Summer",$C$14=1,$C$20="No"),(1-(1-((1-(EXP((-($C$33*(($V$12^2*PI()/1000000))/$B$29)))))))^$C$23),"")</f>
        <v/>
      </c>
      <c r="U31" s="348" t="str">
        <f>IF(AND($C$13="Summer",$C$14=1,$C$20="No"),(1-(1-((1-(EXP((-($D$33*(($V$12^2*PI()/1000000))/$B$29)))))))^$C$23),"")</f>
        <v/>
      </c>
      <c r="V31" s="1512">
        <v>1</v>
      </c>
      <c r="W31" s="880"/>
      <c r="X31" s="880"/>
      <c r="Y31" s="880"/>
      <c r="Z31" s="880"/>
      <c r="AA31" s="880"/>
      <c r="AB31" s="880"/>
      <c r="AC31" s="425"/>
    </row>
    <row r="32" spans="1:29" ht="17.399999999999999" thickBot="1" x14ac:dyDescent="0.35">
      <c r="A32" s="699" t="s">
        <v>452</v>
      </c>
      <c r="B32" s="700" t="s">
        <v>276</v>
      </c>
      <c r="C32" s="700" t="s">
        <v>327</v>
      </c>
      <c r="D32" s="700" t="s">
        <v>328</v>
      </c>
      <c r="E32" s="735"/>
      <c r="F32" s="683" t="s">
        <v>315</v>
      </c>
      <c r="G32" s="349" t="str">
        <f>IF(AND($C$13="Summer",$C$14=1,$C$20="Yes"),(1-(1-(1-(EXP(-(1-$C$21)*($B$33*($C$25-$C$27))/$B$29))))^$C$23),"")</f>
        <v/>
      </c>
      <c r="H32" s="349" t="str">
        <f>IF(AND($C$13="Summer",$C$14=1,$C$20="Yes"),(1-(1-(1-(EXP(-(1-$C$21)*($C$33*($C$25-$C$27))/$B$29))))^$C$23),"")</f>
        <v/>
      </c>
      <c r="I32" s="349" t="str">
        <f>IF(AND($C$13="Summer",$C$14=1,$C$20="Yes"),(1-(1-(1-(EXP(-(1-$C$21)*($D$33*($C$25-$C$27))/$B$29))))^$C$23),"")</f>
        <v/>
      </c>
      <c r="J32" s="1514"/>
      <c r="K32" s="880"/>
      <c r="L32" s="683" t="s">
        <v>315</v>
      </c>
      <c r="M32" s="349" t="str">
        <f>IF(AND($C$13="Summer",$C$14=1,$C$20="Yes"),(1-(1-((1-(EXP((-(1-$C$21)*($B$33/$B$29*((($P$12^2)*PI()/1000000)))))))))^$C$23),"")</f>
        <v/>
      </c>
      <c r="N32" s="349" t="str">
        <f>IF(AND($C$13="Summer",$C$14=1,$C$20="Yes"),(1-(1-((1-(EXP((-(1-$C$21)*($C$33/$B$29*((($P$12^2)*PI()/1000000)))))))))^$C$23),"")</f>
        <v/>
      </c>
      <c r="O32" s="349" t="str">
        <f>IF(AND($C$13="Summer",$C$14=1,$C$20="Yes"),(1-(1-((1-(EXP((-(1-$C$21)*($D$33/$B$29*((($P$12^2)*PI()/1000000)))))))))^$C$23),"")</f>
        <v/>
      </c>
      <c r="P32" s="1514"/>
      <c r="Q32" s="880"/>
      <c r="R32" s="683" t="s">
        <v>315</v>
      </c>
      <c r="S32" s="349" t="str">
        <f>IF(AND($C$13="Summer",$C$14=1,$C$20="Yes"),(1-(1-((1-(EXP((-(1-$C$21)*($B$33/$B$29*((($V$12^2)*PI()/1000000)))))))))^$C$23),"")</f>
        <v/>
      </c>
      <c r="T32" s="349" t="str">
        <f>IF(AND($C$13="Summer",$C$14=1,$C$20="Yes"),(1-(1-((1-(EXP((-(1-$C$21)*($C$33/$B$29*((($V$12^2)*PI()/1000000)))))))))^$C$23),"")</f>
        <v/>
      </c>
      <c r="U32" s="349" t="str">
        <f>IF(AND($C$13="Summer",$C$14=1,$C$20="Yes"),(1-(1-((1-(EXP((-(1-$C$21)*($D$33/$B$29*((($V$12^2)*PI()/1000000)))))))))^$C$23),"")</f>
        <v/>
      </c>
      <c r="V32" s="1514"/>
      <c r="W32" s="880"/>
      <c r="X32" s="880"/>
      <c r="Y32" s="880"/>
      <c r="Z32" s="880"/>
      <c r="AA32" s="880"/>
      <c r="AB32" s="880"/>
      <c r="AC32" s="425"/>
    </row>
    <row r="33" spans="1:29" ht="15" customHeight="1" x14ac:dyDescent="0.3">
      <c r="A33" s="701" t="s">
        <v>330</v>
      </c>
      <c r="B33" s="702">
        <f>'MaMu Density'!B55</f>
        <v>2.3391999999999999</v>
      </c>
      <c r="C33" s="702">
        <f>'MaMu Density'!F55</f>
        <v>0.8277330809275909</v>
      </c>
      <c r="D33" s="702">
        <f>'MaMu Density'!H55</f>
        <v>3.2475153809749173</v>
      </c>
      <c r="E33" s="733"/>
      <c r="F33" s="682" t="s">
        <v>310</v>
      </c>
      <c r="G33" s="348" t="str">
        <f>IF(AND($C$13="Summer",$C$14=2,$C$20="No"),(1-(1-(1-(EXP(-(($B$34*($C$25-$C$27))/$B$29)))))^$C$23),"")</f>
        <v/>
      </c>
      <c r="H33" s="348" t="str">
        <f>IF(AND($C$13="Summer",$C$14=2,$C$20="No"),(1-(1-(1-(EXP(-(($C$34*($C$25-$C$27))/$B$29)))))^$C$23),"")</f>
        <v/>
      </c>
      <c r="I33" s="348" t="str">
        <f>IF(AND($C$13="Summer",$C$14=2,$C$20="No"),(1-(1-(1-(EXP(-(($D$34*($C$25-$C$27))/$B$29)))))^$C$23),"")</f>
        <v/>
      </c>
      <c r="J33" s="1519">
        <v>2</v>
      </c>
      <c r="K33" s="880"/>
      <c r="L33" s="682" t="s">
        <v>310</v>
      </c>
      <c r="M33" s="348" t="str">
        <f>IF(AND($C$13="Summer",$C$14=2,$C$20="No"),(1-(1-((1-(EXP((-($B$34*(($P$12^2*PI()/1000000))/$B$29)))))))^$C$23),"")</f>
        <v/>
      </c>
      <c r="N33" s="348" t="str">
        <f>IF(AND($C$13="Summer",$C$14=2,$C$20="No"),(1-(1-((1-(EXP((-($C$34*(($P$12^2*PI()/1000000))/$B$29)))))))^$C$23),"")</f>
        <v/>
      </c>
      <c r="O33" s="348" t="str">
        <f>IF(AND($C$13="Summer",$C$14=2,$C$20="No"),(1-(1-((1-(EXP((-($D$34*(($P$12^2*PI()/1000000))/$B$29)))))))^$C$23),"")</f>
        <v/>
      </c>
      <c r="P33" s="1519">
        <v>2</v>
      </c>
      <c r="Q33" s="880"/>
      <c r="R33" s="682" t="s">
        <v>310</v>
      </c>
      <c r="S33" s="348" t="str">
        <f>IF(AND($C$13="Summer",$C$14=2,$C$20="No"),(1-(1-((1-(EXP((-($B$34*(($V$12^2*PI()/1000000))/$B$29)))))))^$C$23),"")</f>
        <v/>
      </c>
      <c r="T33" s="348" t="str">
        <f>IF(AND($C$13="Summer",$C$14=2,$C$20="No"),(1-(1-((1-(EXP((-($C$34*(($V$12^2*PI()/1000000))/$B$29)))))))^$C$23),"")</f>
        <v/>
      </c>
      <c r="U33" s="348" t="str">
        <f>IF(AND($C$13="Summer",$C$14=2,$C$20="No"),(1-(1-((1-(EXP((-($D$34*(($V$12^2*PI()/1000000))/$B$29)))))))^$C$23),"")</f>
        <v/>
      </c>
      <c r="V33" s="1519">
        <v>2</v>
      </c>
      <c r="W33" s="880"/>
      <c r="X33" s="880"/>
      <c r="Y33" s="880"/>
      <c r="Z33" s="880"/>
      <c r="AA33" s="880"/>
      <c r="AB33" s="880"/>
      <c r="AC33" s="425"/>
    </row>
    <row r="34" spans="1:29" x14ac:dyDescent="0.3">
      <c r="A34" s="703" t="s">
        <v>331</v>
      </c>
      <c r="B34" s="702">
        <f>'MaMu Density'!J55</f>
        <v>1.2004000000000001</v>
      </c>
      <c r="C34" s="702">
        <f>'MaMu Density'!N55</f>
        <v>0.49575816683071317</v>
      </c>
      <c r="D34" s="702">
        <f>'MaMu Density'!P55</f>
        <v>2.0475604516339145</v>
      </c>
      <c r="E34" s="733"/>
      <c r="F34" s="683" t="s">
        <v>315</v>
      </c>
      <c r="G34" s="349" t="str">
        <f>IF(AND($C$13="Summer",$C$14=2,$C$20="Yes"),(1-(1-(1-(EXP(-(1-$C$21)*($B$34*($C$25-$C$27))/$B$29))))^$C$23),"")</f>
        <v/>
      </c>
      <c r="H34" s="349" t="str">
        <f>IF(AND($C$13="Summer",$C$14=2,$C$20="Yes"),(1-(1-(1-(EXP(-(1-$C$21)*($C$34*($C$25-$C$27))/$B$29))))^$C$23),"")</f>
        <v/>
      </c>
      <c r="I34" s="349" t="str">
        <f>IF(AND($C$13="Summer",$C$14=2,$C$20="Yes"),(1-(1-(1-(EXP(-(1-$C$21)*($D$34*($C$25-$C$27))/$B$29))))^$C$23),"")</f>
        <v/>
      </c>
      <c r="J34" s="1520"/>
      <c r="K34" s="880"/>
      <c r="L34" s="683" t="s">
        <v>315</v>
      </c>
      <c r="M34" s="349" t="str">
        <f>IF(AND($C$13="Summer",$C$14=2,$C$20="Yes"),(1-(1-((1-(EXP((-(1-$C$21)*($B$34/$B$29*((($P$12^2)*PI()/1000000)))))))))^$C$23),"")</f>
        <v/>
      </c>
      <c r="N34" s="349" t="str">
        <f>IF(AND($C$13="Summer",$C$14=2,$C$20="Yes"),(1-(1-((1-(EXP((-(1-$C$21)*($C$34/$B$29*((($P$12^2)*PI()/1000000)))))))))^$C$23),"")</f>
        <v/>
      </c>
      <c r="O34" s="349" t="str">
        <f>IF(AND($C$13="Summer",$C$14=2,$C$20="Yes"),(1-(1-((1-(EXP((-(1-$C$21)*($D$34/$B$29*((($P$12^2)*PI()/1000000)))))))))^$C$23),"")</f>
        <v/>
      </c>
      <c r="P34" s="1520"/>
      <c r="Q34" s="880"/>
      <c r="R34" s="683" t="s">
        <v>315</v>
      </c>
      <c r="S34" s="349" t="str">
        <f>IF(AND($C$13="Summer",$C$14=2,$C$20="Yes"),(1-(1-((1-(EXP((-(1-$C$21)*($B$34/$B$29*((($V$12^2)*PI()/1000000)))))))))^$C$23),"")</f>
        <v/>
      </c>
      <c r="T34" s="349" t="str">
        <f>IF(AND($C$13="Summer",$C$14=2,$C$20="Yes"),(1-(1-((1-(EXP((-(1-$C$21)*($C$34/$B$29*((($V$12^2)*PI()/1000000)))))))))^$C$23),"")</f>
        <v/>
      </c>
      <c r="U34" s="349" t="str">
        <f>IF(AND($C$13="Summer",$C$14=2,$C$20="Yes"),(1-(1-((1-(EXP((-(1-$C$21)*($D$34/$B$29*((($V$12^2)*PI()/1000000)))))))))^$C$23),"")</f>
        <v/>
      </c>
      <c r="V34" s="1520"/>
      <c r="W34" s="880"/>
      <c r="X34" s="880"/>
      <c r="Y34" s="880"/>
      <c r="Z34" s="880"/>
      <c r="AA34" s="880"/>
      <c r="AB34" s="880"/>
      <c r="AC34" s="425"/>
    </row>
    <row r="35" spans="1:29" ht="14.4" thickBot="1" x14ac:dyDescent="0.35">
      <c r="A35" s="704" t="s">
        <v>333</v>
      </c>
      <c r="B35" s="702">
        <f>'MaMu Density'!R55</f>
        <v>0.36199999999999999</v>
      </c>
      <c r="C35" s="702">
        <f>'MaMu Density'!V55</f>
        <v>9.1525845383124652E-2</v>
      </c>
      <c r="D35" s="702">
        <f>'MaMu Density'!X55</f>
        <v>0.89245275436605009</v>
      </c>
      <c r="E35" s="733"/>
      <c r="F35" s="686" t="s">
        <v>310</v>
      </c>
      <c r="G35" s="348" t="str">
        <f>IF(AND($C$13="Summer",$C$14=3,$C$20="No"),(1-(1-(1-(EXP(-(($B$35*($C$25-$C$27))/$B$29)))))^$C$23),"")</f>
        <v/>
      </c>
      <c r="H35" s="348" t="str">
        <f>IF(AND($C$13="Summer",$C$14=3,$C$20="No"),(1-(1-(1-(EXP(-(($C$35*($C$25-$C$27))/$B$29)))))^$C$23),"")</f>
        <v/>
      </c>
      <c r="I35" s="348" t="str">
        <f>IF(AND($C$13="Summer",$C$14=3,$C$20="No"),(1-(1-(1-(EXP(-(($D$35*($C$25-$C$27))/$B$29)))))^$C$23),"")</f>
        <v/>
      </c>
      <c r="J35" s="1512">
        <v>3</v>
      </c>
      <c r="K35" s="880"/>
      <c r="L35" s="686" t="s">
        <v>310</v>
      </c>
      <c r="M35" s="348" t="str">
        <f>IF(AND($C$13="Summer",$C$14=3,$C$20="No"),(1-(1-((1-(EXP((-($B$35*(($P$12^2*PI()/1000000))/$B$29)))))))^$C$23),"")</f>
        <v/>
      </c>
      <c r="N35" s="348" t="str">
        <f>IF(AND($C$13="Summer",$C$14=3,$C$20="No"),(1-(1-((1-(EXP((-($C$35*(($P$12^2*PI()/1000000))/$B$29)))))))^$C$23),"")</f>
        <v/>
      </c>
      <c r="O35" s="348" t="str">
        <f>IF(AND($C$13="Summer",$C$14=3,$C$20="No"),(1-(1-((1-(EXP((-($D$35*(($P$12^2*PI()/1000000))/$B$29)))))))^$C$23),"")</f>
        <v/>
      </c>
      <c r="P35" s="1512">
        <v>3</v>
      </c>
      <c r="Q35" s="880"/>
      <c r="R35" s="686" t="s">
        <v>310</v>
      </c>
      <c r="S35" s="348" t="str">
        <f>IF(AND($C$13="Summer",$C$14=3,$C$20="No"),(1-(1-((1-(EXP((-($B$35*(($V$12^2*PI()/1000000))/$B$29)))))))^$C$23),"")</f>
        <v/>
      </c>
      <c r="T35" s="348" t="str">
        <f>IF(AND($C$13="Summer",$C$14=3,$C$20="No"),(1-(1-((1-(EXP((-($C$35*(($V$12^2*PI()/1000000))/$B$29)))))))^$C$23),"")</f>
        <v/>
      </c>
      <c r="U35" s="348" t="str">
        <f>IF(AND($C$13="Summer",$C$14=3,$C$20="No"),(1-(1-((1-(EXP((-($D$35*(($V$12^2*PI()/1000000))/$B$29)))))))^$C$23),"")</f>
        <v/>
      </c>
      <c r="V35" s="1512">
        <v>3</v>
      </c>
      <c r="W35" s="880"/>
      <c r="X35" s="880"/>
      <c r="Y35" s="880"/>
      <c r="Z35" s="880"/>
      <c r="AA35" s="880"/>
      <c r="AB35" s="880"/>
      <c r="AC35" s="425"/>
    </row>
    <row r="36" spans="1:29" ht="15" customHeight="1" x14ac:dyDescent="0.3">
      <c r="A36" s="1571" t="s">
        <v>453</v>
      </c>
      <c r="B36" s="1568">
        <f>'MaMu Density'!J28</f>
        <v>1.1260000000000001</v>
      </c>
      <c r="C36" s="1568">
        <f>'MaMu Density'!N28</f>
        <v>0.66833868243547601</v>
      </c>
      <c r="D36" s="1573">
        <f>'MaMu Density'!P28</f>
        <v>1.6870320821863092</v>
      </c>
      <c r="E36" s="734"/>
      <c r="F36" s="687" t="s">
        <v>315</v>
      </c>
      <c r="G36" s="349" t="str">
        <f>IF(AND($C$13="Summer",$C$14=3,$C$20="Yes"),(1-(1-(1-(EXP(-(1-$C$21)*($B$35*($C$25-$C$27))/$B$29))))^$C$23),"")</f>
        <v/>
      </c>
      <c r="H36" s="349" t="str">
        <f>IF(AND($C$13="Summer",$C$14=3,$C$20="Yes"),(1-(1-(1-(EXP(-(1-$C$21)*($C$35*($C$25-$C$27))/$B$29))))^$C$23),"")</f>
        <v/>
      </c>
      <c r="I36" s="349" t="str">
        <f>IF(AND($C$13="Summer",$C$14=3,$C$20="Yes"),(1-(1-(1-(EXP(-(1-$C$21)*($D$35*($C$25-$C$27))/$B$29))))^$C$23),"")</f>
        <v/>
      </c>
      <c r="J36" s="1513"/>
      <c r="K36" s="880"/>
      <c r="L36" s="687" t="s">
        <v>315</v>
      </c>
      <c r="M36" s="349" t="str">
        <f>IF(AND($C$13="Summer",$C$14=3,$C$20="Yes"),(1-(1-((1-(EXP((-(1-$C$21)*($B$35/$B$29*((($P$12^2)*PI()/1000000)))))))))^$C$23),"")</f>
        <v/>
      </c>
      <c r="N36" s="349" t="str">
        <f>IF(AND($C$13="Summer",$C$14=3,$C$20="Yes"),(1-(1-((1-(EXP((-(1-$C$21)*($C$35/$B$29*((($P$12^2)*PI()/1000000)))))))))^$C$23),"")</f>
        <v/>
      </c>
      <c r="O36" s="349" t="str">
        <f>IF(AND($C$13="Summer",$C$14=3,$C$20="Yes"),(1-(1-((1-(EXP((-(1-$C$21)*($D$35/$B$29*((($P$12^2)*PI()/1000000)))))))))^$C$23),"")</f>
        <v/>
      </c>
      <c r="P36" s="1513"/>
      <c r="Q36" s="880"/>
      <c r="R36" s="687" t="s">
        <v>315</v>
      </c>
      <c r="S36" s="349" t="str">
        <f>IF(AND($C$13="Summer",$C$14=3,$C$20="Yes"),(1-(1-((1-(EXP((-(1-$C$21)*($B$35/$B$29*((($V$12^2)*PI()/1000000)))))))))^$C$23),"")</f>
        <v/>
      </c>
      <c r="T36" s="349" t="str">
        <f>IF(AND($C$13="Summer",$C$14=3,$C$20="Yes"),(1-(1-((1-(EXP((-(1-$C$21)*($C$35/$B$29*((($V$12^2)*PI()/1000000)))))))))^$C$23),"")</f>
        <v/>
      </c>
      <c r="U36" s="349" t="str">
        <f>IF(AND($C$13="Summer",$C$14=3,$C$20="Yes"),(1-(1-((1-(EXP((-(1-$C$21)*($D$35/$B$29*((($V$12^2)*PI()/1000000)))))))))^$C$23),"")</f>
        <v/>
      </c>
      <c r="V36" s="1513"/>
      <c r="W36" s="880"/>
      <c r="X36" s="880"/>
      <c r="Y36" s="880"/>
      <c r="Z36" s="880"/>
      <c r="AA36" s="880"/>
      <c r="AB36" s="880"/>
      <c r="AC36" s="425"/>
    </row>
    <row r="37" spans="1:29" ht="14.4" thickBot="1" x14ac:dyDescent="0.35">
      <c r="A37" s="1572"/>
      <c r="B37" s="1569"/>
      <c r="C37" s="1569"/>
      <c r="D37" s="1574"/>
      <c r="E37" s="734"/>
      <c r="F37" s="1551" t="s">
        <v>324</v>
      </c>
      <c r="G37" s="1552"/>
      <c r="H37" s="1552"/>
      <c r="I37" s="1552"/>
      <c r="J37" s="1553"/>
      <c r="K37" s="880"/>
      <c r="L37" s="1551" t="s">
        <v>324</v>
      </c>
      <c r="M37" s="1552"/>
      <c r="N37" s="1552"/>
      <c r="O37" s="1552"/>
      <c r="P37" s="1553"/>
      <c r="Q37" s="880"/>
      <c r="R37" s="1551" t="s">
        <v>324</v>
      </c>
      <c r="S37" s="1552"/>
      <c r="T37" s="1552"/>
      <c r="U37" s="1552"/>
      <c r="V37" s="1553"/>
      <c r="W37" s="880"/>
      <c r="X37" s="880"/>
      <c r="Y37" s="880"/>
      <c r="Z37" s="880"/>
      <c r="AA37" s="880"/>
      <c r="AB37" s="880"/>
      <c r="AC37" s="425"/>
    </row>
    <row r="38" spans="1:29" ht="18" customHeight="1" thickBot="1" x14ac:dyDescent="0.35">
      <c r="A38" s="728"/>
      <c r="B38" s="729"/>
      <c r="C38" s="729"/>
      <c r="D38" s="729"/>
      <c r="E38" s="736"/>
      <c r="F38" s="693" t="s">
        <v>311</v>
      </c>
      <c r="G38" s="691" t="s">
        <v>276</v>
      </c>
      <c r="H38" s="691" t="s">
        <v>277</v>
      </c>
      <c r="I38" s="691" t="s">
        <v>278</v>
      </c>
      <c r="J38" s="692" t="s">
        <v>312</v>
      </c>
      <c r="K38" s="880"/>
      <c r="L38" s="693" t="s">
        <v>311</v>
      </c>
      <c r="M38" s="691" t="s">
        <v>276</v>
      </c>
      <c r="N38" s="691" t="s">
        <v>277</v>
      </c>
      <c r="O38" s="691" t="s">
        <v>278</v>
      </c>
      <c r="P38" s="692" t="s">
        <v>312</v>
      </c>
      <c r="Q38" s="880"/>
      <c r="R38" s="693" t="s">
        <v>311</v>
      </c>
      <c r="S38" s="691" t="s">
        <v>276</v>
      </c>
      <c r="T38" s="691" t="s">
        <v>277</v>
      </c>
      <c r="U38" s="691" t="s">
        <v>278</v>
      </c>
      <c r="V38" s="692" t="s">
        <v>312</v>
      </c>
      <c r="W38" s="880"/>
      <c r="X38" s="880"/>
      <c r="Y38" s="880"/>
      <c r="Z38" s="880"/>
      <c r="AA38" s="880"/>
      <c r="AB38" s="880"/>
      <c r="AC38" s="425"/>
    </row>
    <row r="39" spans="1:29" ht="14.4" thickBot="1" x14ac:dyDescent="0.35">
      <c r="A39" s="663" t="s">
        <v>339</v>
      </c>
      <c r="B39" s="1561">
        <v>2</v>
      </c>
      <c r="C39" s="1561"/>
      <c r="D39" s="1561"/>
      <c r="E39" s="734"/>
      <c r="F39" s="682" t="s">
        <v>310</v>
      </c>
      <c r="G39" s="348" t="str">
        <f>IF(AND($C$17="Winter",$C$20="No"),(1-(1-(1-(EXP(-(($B$41*($C$25-$C$27))/$B$42)))))^$C$23),"")</f>
        <v/>
      </c>
      <c r="H39" s="348" t="str">
        <f>IF(AND($C$17="Winter",$C$20="No"),(1-(1-(1-(EXP(-(($C$41*($C$25-$C$27))/$B$42)))))^$C$23),"")</f>
        <v/>
      </c>
      <c r="I39" s="348" t="str">
        <f>IF(AND($C$17="Winter",$C$20="No"),(1-(1-(1-(EXP(-(($D$41*($C$25-$C$27))/$B$42)))))^$C$23),"")</f>
        <v/>
      </c>
      <c r="J39" s="988" t="s">
        <v>329</v>
      </c>
      <c r="K39" s="880"/>
      <c r="L39" s="682" t="s">
        <v>310</v>
      </c>
      <c r="M39" s="348" t="str">
        <f>IF(AND($C$17="Winter",$C$20="No"),(1-(1-((1-(EXP((-($B$41*(($P$12^2*PI()/1000000))/$B$42)))))))^$C$23),"")</f>
        <v/>
      </c>
      <c r="N39" s="348" t="str">
        <f>IF(AND($C$17="Winter",$C$20="No"),(1-(1-((1-(EXP((-($C$41*(($P$12^2*PI()/1000000))/$B$42)))))))^$C$23),"")</f>
        <v/>
      </c>
      <c r="O39" s="348" t="str">
        <f>IF(AND($C$17="Winter",$C$20="No"),(1-(1-((1-(EXP((-($D$41*(($P$12^2*PI()/1000000))/$B$42)))))))^$C$23),"")</f>
        <v/>
      </c>
      <c r="P39" s="988" t="s">
        <v>329</v>
      </c>
      <c r="Q39" s="880"/>
      <c r="R39" s="682" t="s">
        <v>310</v>
      </c>
      <c r="S39" s="348" t="str">
        <f>IF(AND($C$17="Winter",$C$20="No"),(1-(1-((1-(EXP((-($B$41*(($V$12^2*PI()/1000000))/$B$42)))))))^$C$23),"")</f>
        <v/>
      </c>
      <c r="T39" s="348" t="str">
        <f>IF(AND($C$17="Winter",$C$20="No"),(1-(1-((1-(EXP((-($C$41*(($V$12^2*PI()/1000000))/$B$42)))))))^$C$23),"")</f>
        <v/>
      </c>
      <c r="U39" s="348" t="str">
        <f>IF(AND($C$17="Winter",$C$20="No"),(1-(1-((1-(EXP((-($D$41*(($V$12^2*PI()/1000000))/$B$42)))))))^$C$23),"")</f>
        <v/>
      </c>
      <c r="V39" s="988" t="s">
        <v>329</v>
      </c>
      <c r="W39" s="880"/>
      <c r="X39" s="880"/>
      <c r="Y39" s="880"/>
      <c r="Z39" s="880"/>
      <c r="AA39" s="880"/>
      <c r="AB39" s="880"/>
      <c r="AC39" s="425"/>
    </row>
    <row r="40" spans="1:29" ht="15" customHeight="1" thickBot="1" x14ac:dyDescent="0.35">
      <c r="A40" s="699" t="s">
        <v>454</v>
      </c>
      <c r="B40" s="700" t="s">
        <v>276</v>
      </c>
      <c r="C40" s="700" t="s">
        <v>327</v>
      </c>
      <c r="D40" s="700" t="s">
        <v>328</v>
      </c>
      <c r="E40" s="737"/>
      <c r="F40" s="697" t="s">
        <v>315</v>
      </c>
      <c r="G40" s="350" t="str">
        <f>IF(AND($C$17="Winter",$C$20="Yes"),(1-(1-(1-(EXP(-(1-$C$21)*($B$41*($C$25-$C$27))/$B$42))))^$C$23),"")</f>
        <v/>
      </c>
      <c r="H40" s="350" t="str">
        <f>IF(AND($C$17="Winter",$C$20="Yes"),(1-(1-(1-(EXP(-(1-$C$21)*($C$41*($C$25-$C$27))/$B$42))))^$C$23),"")</f>
        <v/>
      </c>
      <c r="I40" s="350" t="str">
        <f>IF(AND($C$17="Winter",$C$20="Yes"),(1-(1-(1-(EXP(-(1-$C$21)*($D$41*($C$25-$C$27))/$B$42))))^$C$23),"")</f>
        <v/>
      </c>
      <c r="J40" s="698" t="s">
        <v>329</v>
      </c>
      <c r="K40" s="880"/>
      <c r="L40" s="697" t="s">
        <v>315</v>
      </c>
      <c r="M40" s="350" t="str">
        <f>IF(AND($C$17="Winter",$C$20="Yes"),(1-(1-((1-(EXP((-(1-$C$21)*($B$41/$B$42*((($P$12^2)*PI()/1000000)))))))))^$C$23),"")</f>
        <v/>
      </c>
      <c r="N40" s="350" t="str">
        <f>IF(AND($C$17="Winter",$C$20="Yes"),(1-(1-((1-(EXP((-(1-$C$21)*($C$41/$B$42*((($P$12^2)*PI()/1000000)))))))))^$C$23),"")</f>
        <v/>
      </c>
      <c r="O40" s="350" t="str">
        <f>IF(AND($C$17="Winter",$C$20="Yes"),(1-(1-((1-(EXP((-(1-$C$21)*($D$41/$B$42*((($P$12^2)*PI()/1000000)))))))))^$C$23),"")</f>
        <v/>
      </c>
      <c r="P40" s="698" t="s">
        <v>329</v>
      </c>
      <c r="Q40" s="880"/>
      <c r="R40" s="697" t="s">
        <v>315</v>
      </c>
      <c r="S40" s="350" t="str">
        <f>IF(AND($C$17="Winter",$C$20="Yes"),(1-(1-((1-(EXP((-(1-$C$21)*($B$41/$B$42*((($V$12^2)*PI()/1000000)))))))))^$C$23),"")</f>
        <v/>
      </c>
      <c r="T40" s="350" t="str">
        <f>IF(AND($C$17="Winter",$C$20="Yes"),(1-(1-((1-(EXP((-(1-$C$21)*($C$41/$B$42*((($V$12^2)*PI()/1000000)))))))))^$C$23),"")</f>
        <v/>
      </c>
      <c r="U40" s="350" t="str">
        <f>IF(AND($C$17="Winter",$C$20="Yes"),(1-(1-((1-(EXP((-(1-$C$21)*($D$41/$B$42*((($V$12^2)*PI()/1000000)))))))))^$C$23),"")</f>
        <v/>
      </c>
      <c r="V40" s="698" t="s">
        <v>329</v>
      </c>
      <c r="W40" s="880"/>
      <c r="X40" s="880"/>
      <c r="Y40" s="880"/>
      <c r="Z40" s="880"/>
      <c r="AA40" s="880"/>
      <c r="AB40" s="880"/>
      <c r="AC40" s="425"/>
    </row>
    <row r="41" spans="1:29" x14ac:dyDescent="0.3">
      <c r="A41" s="705" t="s">
        <v>338</v>
      </c>
      <c r="B41" s="706">
        <f>B36*$B$39</f>
        <v>2.2520000000000002</v>
      </c>
      <c r="C41" s="706">
        <f>C36*$B$39</f>
        <v>1.336677364870952</v>
      </c>
      <c r="D41" s="706">
        <f>D36*$B$39</f>
        <v>3.3740641643726184</v>
      </c>
      <c r="E41" s="737"/>
      <c r="F41" s="993"/>
      <c r="G41" s="993"/>
      <c r="H41" s="993"/>
      <c r="I41" s="993"/>
      <c r="J41" s="993"/>
      <c r="K41" s="880"/>
      <c r="L41" s="880"/>
      <c r="M41" s="880"/>
      <c r="N41" s="880"/>
      <c r="O41" s="880"/>
      <c r="P41" s="880"/>
      <c r="Q41" s="880"/>
      <c r="R41" s="880"/>
      <c r="S41" s="880"/>
      <c r="T41" s="880"/>
      <c r="U41" s="880"/>
      <c r="V41" s="880"/>
      <c r="W41" s="880"/>
      <c r="X41" s="880"/>
      <c r="Y41" s="880"/>
      <c r="Z41" s="880"/>
      <c r="AA41" s="880"/>
      <c r="AB41" s="880"/>
      <c r="AC41" s="425"/>
    </row>
    <row r="42" spans="1:29" ht="14.4" thickBot="1" x14ac:dyDescent="0.35">
      <c r="A42" s="707" t="s">
        <v>455</v>
      </c>
      <c r="B42" s="1560">
        <v>1.72</v>
      </c>
      <c r="C42" s="1560"/>
      <c r="D42" s="1560"/>
      <c r="E42" s="737"/>
      <c r="F42" s="880"/>
      <c r="G42" s="880"/>
      <c r="H42" s="880"/>
      <c r="I42" s="880"/>
      <c r="J42" s="880"/>
      <c r="K42" s="880"/>
      <c r="L42" s="880"/>
      <c r="M42" s="880"/>
      <c r="N42" s="880"/>
      <c r="O42" s="880"/>
      <c r="P42" s="880"/>
      <c r="Q42" s="880"/>
      <c r="R42" s="880"/>
      <c r="S42" s="880"/>
      <c r="T42" s="880"/>
      <c r="U42" s="880"/>
      <c r="V42" s="880"/>
      <c r="W42" s="880"/>
      <c r="X42" s="880"/>
      <c r="Y42" s="880"/>
      <c r="Z42" s="880"/>
      <c r="AA42" s="880"/>
      <c r="AB42" s="880"/>
      <c r="AC42" s="425"/>
    </row>
    <row r="43" spans="1:29" ht="15.75" customHeight="1" x14ac:dyDescent="0.3">
      <c r="A43" s="1562" t="s">
        <v>456</v>
      </c>
      <c r="B43" s="1563"/>
      <c r="C43" s="1563"/>
      <c r="D43" s="1564"/>
      <c r="E43" s="738"/>
      <c r="F43" s="880"/>
      <c r="G43" s="880"/>
      <c r="H43" s="880"/>
      <c r="I43" s="880"/>
      <c r="J43" s="880"/>
      <c r="K43" s="880"/>
      <c r="L43" s="880"/>
      <c r="M43" s="880"/>
      <c r="N43" s="880"/>
      <c r="O43" s="880"/>
      <c r="P43" s="880"/>
      <c r="Q43" s="880"/>
      <c r="R43" s="880"/>
      <c r="S43" s="880"/>
      <c r="T43" s="880"/>
      <c r="U43" s="880"/>
      <c r="V43" s="880"/>
      <c r="W43" s="880"/>
      <c r="X43" s="880"/>
      <c r="Y43" s="880"/>
      <c r="Z43" s="880"/>
      <c r="AA43" s="880"/>
      <c r="AB43" s="880"/>
      <c r="AC43" s="880"/>
    </row>
    <row r="44" spans="1:29" x14ac:dyDescent="0.3">
      <c r="A44" s="1565"/>
      <c r="B44" s="1566"/>
      <c r="C44" s="1566"/>
      <c r="D44" s="1567"/>
      <c r="E44" s="757"/>
      <c r="F44" s="880"/>
      <c r="G44" s="880"/>
      <c r="H44" s="880"/>
      <c r="I44" s="880"/>
      <c r="J44" s="880"/>
      <c r="K44" s="880"/>
      <c r="L44" s="880"/>
      <c r="M44" s="880"/>
      <c r="N44" s="880"/>
      <c r="O44" s="880"/>
      <c r="P44" s="880"/>
      <c r="Q44" s="880"/>
      <c r="R44" s="880"/>
      <c r="S44" s="880"/>
      <c r="T44" s="880"/>
      <c r="U44" s="880"/>
      <c r="V44" s="880"/>
      <c r="W44" s="880"/>
      <c r="X44" s="880"/>
      <c r="Y44" s="880"/>
      <c r="Z44" s="880"/>
      <c r="AA44" s="880"/>
      <c r="AB44" s="880"/>
      <c r="AC44" s="880"/>
    </row>
    <row r="45" spans="1:29" x14ac:dyDescent="0.3">
      <c r="A45" s="1565"/>
      <c r="B45" s="1566"/>
      <c r="C45" s="1566"/>
      <c r="D45" s="1567"/>
      <c r="E45" s="757"/>
      <c r="F45" s="880"/>
      <c r="G45" s="880"/>
      <c r="H45" s="880"/>
      <c r="I45" s="880"/>
      <c r="J45" s="880"/>
      <c r="K45" s="880"/>
      <c r="L45" s="880"/>
      <c r="M45" s="880"/>
      <c r="N45" s="880"/>
      <c r="O45" s="880"/>
      <c r="P45" s="880"/>
      <c r="Q45" s="880"/>
      <c r="R45" s="880"/>
      <c r="S45" s="880"/>
      <c r="T45" s="880"/>
      <c r="U45" s="880"/>
      <c r="V45" s="880"/>
      <c r="W45" s="880"/>
      <c r="X45" s="880"/>
      <c r="Y45" s="880"/>
      <c r="Z45" s="880"/>
      <c r="AA45" s="880"/>
      <c r="AB45" s="880"/>
      <c r="AC45" s="880"/>
    </row>
    <row r="46" spans="1:29" ht="15" customHeight="1" x14ac:dyDescent="0.3">
      <c r="A46" s="1279" t="s">
        <v>457</v>
      </c>
      <c r="B46" s="1280"/>
      <c r="C46" s="1280"/>
      <c r="D46" s="1570"/>
      <c r="E46" s="738"/>
      <c r="F46" s="880"/>
      <c r="G46" s="880"/>
      <c r="H46" s="880"/>
      <c r="I46" s="880"/>
      <c r="J46" s="880"/>
      <c r="K46" s="880"/>
      <c r="L46" s="880"/>
      <c r="M46" s="880"/>
      <c r="N46" s="880"/>
      <c r="O46" s="880"/>
      <c r="P46" s="880"/>
      <c r="Q46" s="880"/>
      <c r="R46" s="880"/>
      <c r="S46" s="880"/>
      <c r="T46" s="880"/>
      <c r="U46" s="880"/>
      <c r="V46" s="880"/>
      <c r="W46" s="880"/>
      <c r="X46" s="880"/>
      <c r="Y46" s="880"/>
      <c r="Z46" s="880"/>
      <c r="AA46" s="880"/>
      <c r="AB46" s="880"/>
      <c r="AC46" s="880"/>
    </row>
    <row r="47" spans="1:29" ht="15" customHeight="1" x14ac:dyDescent="0.3">
      <c r="A47" s="1559" t="s">
        <v>458</v>
      </c>
      <c r="B47" s="1179"/>
      <c r="C47" s="1179"/>
      <c r="D47" s="1180"/>
      <c r="E47" s="738"/>
      <c r="F47" s="880"/>
      <c r="G47" s="880"/>
      <c r="H47" s="880"/>
      <c r="I47" s="880"/>
      <c r="J47" s="880"/>
      <c r="K47" s="880"/>
      <c r="L47" s="880"/>
      <c r="M47" s="880"/>
      <c r="N47" s="880"/>
      <c r="O47" s="880"/>
      <c r="P47" s="880"/>
      <c r="Q47" s="880"/>
      <c r="R47" s="880"/>
      <c r="S47" s="880"/>
      <c r="T47" s="880"/>
      <c r="U47" s="880"/>
      <c r="V47" s="880"/>
      <c r="W47" s="880"/>
      <c r="X47" s="880"/>
      <c r="Y47" s="880"/>
      <c r="Z47" s="880"/>
      <c r="AA47" s="880"/>
      <c r="AB47" s="880"/>
      <c r="AC47" s="880"/>
    </row>
    <row r="48" spans="1:29" x14ac:dyDescent="0.3">
      <c r="A48" s="883"/>
      <c r="B48" s="966"/>
      <c r="C48" s="966"/>
      <c r="D48" s="967"/>
      <c r="E48" s="757"/>
      <c r="F48" s="880"/>
      <c r="G48" s="880"/>
      <c r="H48" s="880"/>
      <c r="I48" s="880"/>
      <c r="J48" s="880"/>
      <c r="K48" s="880"/>
      <c r="L48" s="880"/>
      <c r="M48" s="880"/>
      <c r="N48" s="880"/>
      <c r="O48" s="880"/>
      <c r="P48" s="880"/>
      <c r="Q48" s="880"/>
      <c r="R48" s="880"/>
      <c r="S48" s="880"/>
      <c r="T48" s="880"/>
      <c r="U48" s="880"/>
      <c r="V48" s="880"/>
      <c r="W48" s="880"/>
      <c r="X48" s="880"/>
      <c r="Y48" s="880"/>
      <c r="Z48" s="880"/>
      <c r="AA48" s="880"/>
      <c r="AB48" s="880"/>
      <c r="AC48" s="880"/>
    </row>
    <row r="49" spans="1:25" x14ac:dyDescent="0.3">
      <c r="A49" s="1279" t="s">
        <v>459</v>
      </c>
      <c r="B49" s="1280"/>
      <c r="C49" s="1280"/>
      <c r="D49" s="1570"/>
      <c r="E49" s="738"/>
      <c r="F49" s="880"/>
      <c r="G49" s="880"/>
      <c r="H49" s="880"/>
      <c r="I49" s="880"/>
      <c r="J49" s="880"/>
      <c r="K49" s="880"/>
      <c r="L49" s="880"/>
      <c r="M49" s="880"/>
      <c r="N49" s="880"/>
      <c r="O49" s="880"/>
      <c r="P49" s="880"/>
      <c r="Q49" s="880"/>
      <c r="R49" s="880"/>
      <c r="S49" s="880"/>
      <c r="T49" s="880"/>
      <c r="U49" s="880"/>
      <c r="V49" s="880"/>
      <c r="W49" s="880"/>
      <c r="X49" s="880"/>
      <c r="Y49" s="880"/>
    </row>
    <row r="50" spans="1:25" x14ac:dyDescent="0.3">
      <c r="A50" s="1279"/>
      <c r="B50" s="1280"/>
      <c r="C50" s="1280"/>
      <c r="D50" s="1570"/>
      <c r="E50" s="738"/>
      <c r="F50" s="880"/>
      <c r="G50" s="880"/>
      <c r="H50" s="880"/>
      <c r="I50" s="880"/>
      <c r="J50" s="880"/>
      <c r="K50" s="880"/>
      <c r="L50" s="880"/>
      <c r="M50" s="880"/>
      <c r="N50" s="880"/>
      <c r="O50" s="880"/>
      <c r="P50" s="880"/>
      <c r="Q50" s="880"/>
      <c r="R50" s="880"/>
      <c r="S50" s="880"/>
      <c r="T50" s="880"/>
      <c r="U50" s="880"/>
      <c r="V50" s="880"/>
      <c r="W50" s="880"/>
      <c r="X50" s="880"/>
      <c r="Y50" s="880"/>
    </row>
    <row r="51" spans="1:25" x14ac:dyDescent="0.3">
      <c r="A51" s="883"/>
      <c r="B51" s="966"/>
      <c r="C51" s="966"/>
      <c r="D51" s="967"/>
      <c r="E51" s="757"/>
      <c r="F51" s="880"/>
      <c r="G51" s="880"/>
      <c r="H51" s="880"/>
      <c r="I51" s="880"/>
      <c r="J51" s="880"/>
      <c r="K51" s="880"/>
      <c r="L51" s="880"/>
      <c r="M51" s="880"/>
      <c r="N51" s="880"/>
      <c r="O51" s="880"/>
      <c r="P51" s="880"/>
      <c r="Q51" s="880"/>
      <c r="R51" s="880"/>
      <c r="S51" s="880"/>
      <c r="T51" s="880"/>
      <c r="U51" s="880"/>
      <c r="V51" s="880"/>
      <c r="W51" s="880"/>
      <c r="X51" s="880"/>
      <c r="Y51" s="880"/>
    </row>
    <row r="52" spans="1:25" x14ac:dyDescent="0.3">
      <c r="A52" s="1279" t="s">
        <v>460</v>
      </c>
      <c r="B52" s="1280"/>
      <c r="C52" s="1280"/>
      <c r="D52" s="1570"/>
      <c r="E52" s="757"/>
      <c r="F52" s="880"/>
      <c r="G52" s="880"/>
      <c r="H52" s="880"/>
      <c r="I52" s="880"/>
      <c r="J52" s="880"/>
      <c r="K52" s="880"/>
      <c r="L52" s="880"/>
      <c r="M52" s="880"/>
      <c r="N52" s="880"/>
      <c r="O52" s="880"/>
      <c r="P52" s="880"/>
      <c r="Q52" s="880"/>
      <c r="R52" s="880"/>
      <c r="S52" s="880"/>
      <c r="T52" s="880"/>
      <c r="U52" s="880"/>
      <c r="V52" s="880"/>
      <c r="W52" s="880"/>
      <c r="X52" s="880"/>
      <c r="Y52" s="711"/>
    </row>
    <row r="53" spans="1:25" ht="14.4" thickBot="1" x14ac:dyDescent="0.35">
      <c r="A53" s="1578"/>
      <c r="B53" s="1579"/>
      <c r="C53" s="1579"/>
      <c r="D53" s="1580"/>
      <c r="E53" s="757"/>
      <c r="F53" s="880"/>
      <c r="G53" s="880"/>
      <c r="H53" s="880"/>
      <c r="I53" s="880"/>
      <c r="J53" s="880"/>
      <c r="K53" s="880"/>
      <c r="L53" s="880"/>
      <c r="M53" s="880"/>
      <c r="N53" s="880"/>
      <c r="O53" s="880"/>
      <c r="P53" s="880"/>
      <c r="Q53" s="880"/>
      <c r="R53" s="880"/>
      <c r="S53" s="880"/>
      <c r="T53" s="880"/>
      <c r="U53" s="880"/>
      <c r="V53" s="880"/>
      <c r="W53" s="880"/>
      <c r="X53" s="880"/>
      <c r="Y53" s="880"/>
    </row>
    <row r="55" spans="1:25" ht="14.4" hidden="1" thickBot="1" x14ac:dyDescent="0.35">
      <c r="A55" s="880"/>
      <c r="B55" s="880"/>
      <c r="C55" s="880"/>
      <c r="D55" s="880"/>
      <c r="E55" s="880"/>
      <c r="F55" s="1575" t="s">
        <v>461</v>
      </c>
      <c r="G55" s="1576"/>
      <c r="H55" s="1576"/>
      <c r="I55" s="1576"/>
      <c r="J55" s="1577"/>
      <c r="K55" s="708"/>
      <c r="L55" s="880"/>
      <c r="M55" s="880"/>
      <c r="N55" s="880"/>
      <c r="O55" s="880"/>
      <c r="P55" s="880"/>
      <c r="Q55" s="880"/>
      <c r="R55" s="880"/>
      <c r="S55" s="880"/>
      <c r="T55" s="880"/>
      <c r="U55" s="880"/>
      <c r="V55" s="880"/>
      <c r="W55" s="880"/>
      <c r="X55" s="880"/>
      <c r="Y55" s="880"/>
    </row>
    <row r="56" spans="1:25" hidden="1" x14ac:dyDescent="0.3">
      <c r="A56" s="880"/>
      <c r="B56" s="880"/>
      <c r="C56" s="880"/>
      <c r="D56" s="880"/>
      <c r="E56" s="880"/>
      <c r="F56" s="1521" t="s">
        <v>308</v>
      </c>
      <c r="G56" s="1522"/>
      <c r="H56" s="1522"/>
      <c r="I56" s="1522"/>
      <c r="J56" s="1523"/>
      <c r="K56" s="708"/>
      <c r="L56" s="880"/>
      <c r="M56" s="880"/>
      <c r="N56" s="880"/>
      <c r="O56" s="880"/>
      <c r="P56" s="880"/>
      <c r="Q56" s="880"/>
      <c r="R56" s="880"/>
      <c r="S56" s="880"/>
      <c r="T56" s="880"/>
      <c r="U56" s="880"/>
      <c r="V56" s="880"/>
      <c r="W56" s="880"/>
      <c r="X56" s="880"/>
      <c r="Y56" s="880"/>
    </row>
    <row r="57" spans="1:25" hidden="1" x14ac:dyDescent="0.3">
      <c r="A57" s="880"/>
      <c r="B57" s="880"/>
      <c r="C57" s="880"/>
      <c r="D57" s="880"/>
      <c r="E57" s="880"/>
      <c r="F57" s="681" t="s">
        <v>311</v>
      </c>
      <c r="G57" s="679" t="s">
        <v>276</v>
      </c>
      <c r="H57" s="679" t="s">
        <v>277</v>
      </c>
      <c r="I57" s="679" t="s">
        <v>278</v>
      </c>
      <c r="J57" s="680" t="s">
        <v>312</v>
      </c>
      <c r="K57" s="708"/>
      <c r="L57" s="880"/>
      <c r="M57" s="880"/>
      <c r="N57" s="880"/>
      <c r="O57" s="880"/>
      <c r="P57" s="880"/>
      <c r="Q57" s="880"/>
      <c r="R57" s="880"/>
      <c r="S57" s="880"/>
      <c r="T57" s="880"/>
      <c r="U57" s="880"/>
      <c r="V57" s="880"/>
      <c r="W57" s="880"/>
      <c r="X57" s="880"/>
      <c r="Y57" s="880"/>
    </row>
    <row r="58" spans="1:25" hidden="1" x14ac:dyDescent="0.3">
      <c r="A58" s="880"/>
      <c r="B58" s="880"/>
      <c r="C58" s="880"/>
      <c r="D58" s="880"/>
      <c r="E58" s="880"/>
      <c r="F58" s="682" t="s">
        <v>310</v>
      </c>
      <c r="G58" s="348" t="str">
        <f>IF(AND($C$13="Summer",$C$14=1,$C$20="No"),(($B$33/$B$29)*($C$25-$C$27)),"")</f>
        <v/>
      </c>
      <c r="H58" s="348" t="str">
        <f>IF(AND($C$13="Summer",$C$14=1,$C$20="No"),(($C$33/$B$29)*($C$25-$C$27)),"")</f>
        <v/>
      </c>
      <c r="I58" s="348" t="str">
        <f>IF(AND($C$13="Summer",$C$14=1,$C$20="No"),(($D$33/$B$29)*($C$25-$C$27)),"")</f>
        <v/>
      </c>
      <c r="J58" s="1512">
        <v>1</v>
      </c>
      <c r="K58" s="708"/>
      <c r="L58" s="880"/>
      <c r="M58" s="880"/>
      <c r="N58" s="880"/>
      <c r="O58" s="880"/>
      <c r="P58" s="880"/>
      <c r="Q58" s="880"/>
      <c r="R58" s="880"/>
      <c r="S58" s="880"/>
      <c r="T58" s="880"/>
      <c r="U58" s="880"/>
      <c r="V58" s="880"/>
      <c r="W58" s="880"/>
      <c r="X58" s="880"/>
      <c r="Y58" s="880"/>
    </row>
    <row r="59" spans="1:25" hidden="1" x14ac:dyDescent="0.3">
      <c r="A59" s="880"/>
      <c r="B59" s="880"/>
      <c r="C59" s="880"/>
      <c r="D59" s="880"/>
      <c r="E59" s="880"/>
      <c r="F59" s="683" t="s">
        <v>315</v>
      </c>
      <c r="G59" s="349" t="str">
        <f>IF(AND($C$13="Summer",$C$14=1,$C$20="Yes"),((1-$C$21)*(($B$33/$B$29)*($C$25-$C$27))),"")</f>
        <v/>
      </c>
      <c r="H59" s="349" t="str">
        <f>IF(AND($C$13="Summer",$C$14=1,$C$20="Yes"),((1-$C$21)*(($C$33/$B$29)*($C$25-$C$27))),"")</f>
        <v/>
      </c>
      <c r="I59" s="349" t="str">
        <f>IF(AND($C$13="Summer",$C$14=1,$C$20="Yes"),((1-$C$21)*(($D$33/$B$29)*($C$25-$C$27))),"")</f>
        <v/>
      </c>
      <c r="J59" s="1514"/>
      <c r="K59" s="708"/>
      <c r="L59" s="880"/>
      <c r="M59" s="880"/>
      <c r="N59" s="880"/>
      <c r="O59" s="880"/>
      <c r="P59" s="880"/>
      <c r="Q59" s="880"/>
      <c r="R59" s="880"/>
      <c r="S59" s="880"/>
      <c r="T59" s="880"/>
      <c r="U59" s="880"/>
      <c r="V59" s="880"/>
      <c r="W59" s="880"/>
      <c r="X59" s="880"/>
      <c r="Y59" s="880"/>
    </row>
    <row r="60" spans="1:25" hidden="1" x14ac:dyDescent="0.3">
      <c r="A60" s="880"/>
      <c r="B60" s="880"/>
      <c r="C60" s="880"/>
      <c r="D60" s="880"/>
      <c r="E60" s="880"/>
      <c r="F60" s="682" t="s">
        <v>310</v>
      </c>
      <c r="G60" s="348" t="str">
        <f>IF(AND($C$13="Summer",$C$14=2,$C$20="No"),(($B$34/$B$29)*($C$25-$C$27)),"")</f>
        <v/>
      </c>
      <c r="H60" s="348" t="str">
        <f>IF(AND($C$13="Summer",$C$14=2,$C$20="No"),(($C$34/$B$29)*($C$25-$C$27)),"")</f>
        <v/>
      </c>
      <c r="I60" s="348" t="str">
        <f>IF(AND($C$13="Summer",$C$14=2,$C$20="No"),(($D$34/$B$29)*($C$25-$C$27)),"")</f>
        <v/>
      </c>
      <c r="J60" s="1519">
        <v>2</v>
      </c>
      <c r="K60" s="708"/>
      <c r="L60" s="880"/>
      <c r="M60" s="880"/>
      <c r="N60" s="880"/>
      <c r="O60" s="880"/>
      <c r="P60" s="880"/>
      <c r="Q60" s="880"/>
      <c r="R60" s="880"/>
      <c r="S60" s="880"/>
      <c r="T60" s="880"/>
      <c r="U60" s="880"/>
      <c r="V60" s="880"/>
      <c r="W60" s="880"/>
      <c r="X60" s="880"/>
      <c r="Y60" s="880"/>
    </row>
    <row r="61" spans="1:25" hidden="1" x14ac:dyDescent="0.3">
      <c r="A61" s="880"/>
      <c r="B61" s="880"/>
      <c r="C61" s="880"/>
      <c r="D61" s="880"/>
      <c r="E61" s="880"/>
      <c r="F61" s="683" t="s">
        <v>315</v>
      </c>
      <c r="G61" s="349" t="str">
        <f>IF(AND($C$13="Summer",$C$14=2,$C$20="Yes"),((1-$C$21)*(($B$34/$B$29)*($C$25-$C$27))),"")</f>
        <v/>
      </c>
      <c r="H61" s="349" t="str">
        <f>IF(AND($C$13="Summer",$C$14=2,$C$20="Yes"),((1-$C$21)*(($C$34/$B$29)*($C$25-$C$27))),"")</f>
        <v/>
      </c>
      <c r="I61" s="349" t="str">
        <f>IF(AND($C$13="Summer",$C$14=2,$C$20="Yes"),((1-$C$21)*(($D$34/$B$29)*($C$25-$C$27))),"")</f>
        <v/>
      </c>
      <c r="J61" s="1520"/>
      <c r="K61" s="708"/>
      <c r="L61" s="880"/>
      <c r="M61" s="880"/>
      <c r="N61" s="880"/>
      <c r="O61" s="880"/>
      <c r="P61" s="880"/>
      <c r="Q61" s="880"/>
      <c r="R61" s="880"/>
      <c r="S61" s="880"/>
      <c r="T61" s="880"/>
      <c r="U61" s="880"/>
      <c r="V61" s="880"/>
      <c r="W61" s="880"/>
      <c r="X61" s="880"/>
      <c r="Y61" s="880"/>
    </row>
    <row r="62" spans="1:25" hidden="1" x14ac:dyDescent="0.3">
      <c r="A62" s="880"/>
      <c r="B62" s="880"/>
      <c r="C62" s="880"/>
      <c r="D62" s="880"/>
      <c r="E62" s="880"/>
      <c r="F62" s="686" t="s">
        <v>310</v>
      </c>
      <c r="G62" s="348" t="str">
        <f>IF(AND($C$13="Summer",$C$14=3,$C$20="No"),(($B$35/$B$29)*($C$25-$C$27)),"")</f>
        <v/>
      </c>
      <c r="H62" s="348" t="str">
        <f>IF(AND($C$13="Summer",$C$14=3,$C$20="No"),(($C$35/$B$29)*($C$25-$C$27)),"")</f>
        <v/>
      </c>
      <c r="I62" s="348" t="str">
        <f>IF(AND($C$13="Summer",$C$14=3,$C$20="No"),(($D$35/$B$29)*($C$25-$C$27)),"")</f>
        <v/>
      </c>
      <c r="J62" s="1512">
        <v>3</v>
      </c>
      <c r="K62" s="708"/>
      <c r="L62" s="880"/>
      <c r="M62" s="880"/>
      <c r="N62" s="880"/>
      <c r="O62" s="880"/>
      <c r="P62" s="880"/>
      <c r="Q62" s="880"/>
      <c r="R62" s="880"/>
      <c r="S62" s="880"/>
      <c r="T62" s="880"/>
      <c r="U62" s="880"/>
      <c r="V62" s="880"/>
      <c r="W62" s="880"/>
      <c r="X62" s="880"/>
      <c r="Y62" s="880"/>
    </row>
    <row r="63" spans="1:25" hidden="1" x14ac:dyDescent="0.3">
      <c r="A63" s="880"/>
      <c r="B63" s="880"/>
      <c r="C63" s="880"/>
      <c r="D63" s="880"/>
      <c r="E63" s="880"/>
      <c r="F63" s="687" t="s">
        <v>315</v>
      </c>
      <c r="G63" s="349" t="str">
        <f>IF(AND($C$13="Summer",$C$14=3,$C$20="Yes"),((1-$C$21)*(($B$35/$B$29)*($C$25-$C$27))),"")</f>
        <v/>
      </c>
      <c r="H63" s="349" t="str">
        <f>IF(AND($C$13="Summer",$C$14=3,$C$20="Yes"),((1-$C$21)*(($C$35/$B$29)*($C$25-$C$27))),"")</f>
        <v/>
      </c>
      <c r="I63" s="349" t="str">
        <f>IF(AND($C$13="Summer",$C$14=3,$C$20="Yes"),((1-$C$21)*(($D$35/$B$29)*($C$25-$C$27))),"")</f>
        <v/>
      </c>
      <c r="J63" s="1513"/>
      <c r="K63" s="708"/>
      <c r="L63" s="880"/>
      <c r="M63" s="880"/>
      <c r="N63" s="880"/>
      <c r="O63" s="880"/>
      <c r="P63" s="880"/>
      <c r="Q63" s="880"/>
      <c r="R63" s="880"/>
      <c r="S63" s="880"/>
      <c r="T63" s="880"/>
      <c r="U63" s="880"/>
      <c r="V63" s="880"/>
      <c r="W63" s="880"/>
      <c r="X63" s="880"/>
      <c r="Y63" s="880"/>
    </row>
    <row r="64" spans="1:25" hidden="1" x14ac:dyDescent="0.3">
      <c r="A64" s="880"/>
      <c r="B64" s="880"/>
      <c r="C64" s="880"/>
      <c r="D64" s="880"/>
      <c r="E64" s="880"/>
      <c r="F64" s="1551" t="s">
        <v>324</v>
      </c>
      <c r="G64" s="1552"/>
      <c r="H64" s="1552"/>
      <c r="I64" s="1552"/>
      <c r="J64" s="1553"/>
      <c r="K64" s="708"/>
      <c r="L64" s="880"/>
      <c r="M64" s="880"/>
      <c r="N64" s="880"/>
      <c r="O64" s="880"/>
      <c r="P64" s="880"/>
      <c r="Q64" s="880"/>
      <c r="R64" s="880"/>
      <c r="S64" s="880"/>
      <c r="T64" s="880"/>
      <c r="U64" s="880"/>
      <c r="V64" s="880"/>
      <c r="W64" s="880"/>
      <c r="X64" s="880"/>
      <c r="Y64" s="880"/>
    </row>
    <row r="65" spans="6:11" hidden="1" x14ac:dyDescent="0.3">
      <c r="F65" s="693" t="s">
        <v>311</v>
      </c>
      <c r="G65" s="710" t="s">
        <v>276</v>
      </c>
      <c r="H65" s="710" t="s">
        <v>277</v>
      </c>
      <c r="I65" s="710" t="s">
        <v>278</v>
      </c>
      <c r="J65" s="692" t="s">
        <v>312</v>
      </c>
      <c r="K65" s="708"/>
    </row>
    <row r="66" spans="6:11" hidden="1" x14ac:dyDescent="0.3">
      <c r="F66" s="682" t="s">
        <v>310</v>
      </c>
      <c r="G66" s="348" t="str">
        <f>IF(AND($C$17="Winter",$C$14=1,$C$20="No"),((B$41/$B$42)*($C$25-$C$27)),"")</f>
        <v/>
      </c>
      <c r="H66" s="348" t="str">
        <f>IF(AND($C$17="Winter",$C$14=1,$C$20="No"),(($C$41/$B$42)*($C$25-$C$27)),"")</f>
        <v/>
      </c>
      <c r="I66" s="348" t="str">
        <f>IF(AND($C$17="Winter",$C$14=1,$C$20="No"),(($D$41/$B$42)*($C$25-$C$27)),"")</f>
        <v/>
      </c>
      <c r="J66" s="988" t="s">
        <v>329</v>
      </c>
      <c r="K66" s="708"/>
    </row>
    <row r="67" spans="6:11" ht="14.4" hidden="1" thickBot="1" x14ac:dyDescent="0.35">
      <c r="F67" s="697" t="s">
        <v>315</v>
      </c>
      <c r="G67" s="351" t="str">
        <f>IF(AND($C$17="Winter",$C$14=1,$C$20="Yes"),((1-$C$21)*(($B$41/$B$42)*($C$25-$C$27))),"")</f>
        <v/>
      </c>
      <c r="H67" s="351" t="str">
        <f>IF(AND($C$17="Winter",$C$14=1,$C$20="Yes"),((1-$C$21)*(($C$41/$B$42)*($C$25-$C$27))),"")</f>
        <v/>
      </c>
      <c r="I67" s="351" t="str">
        <f>IF(AND($C$17="Winter",$C$14=1,$C$20="Yes"),((1-$C$21)*(($D$41/$B$42)*($C$25-$C$27))),"")</f>
        <v/>
      </c>
      <c r="J67" s="698" t="s">
        <v>329</v>
      </c>
      <c r="K67" s="708"/>
    </row>
    <row r="68" spans="6:11" hidden="1" x14ac:dyDescent="0.3">
      <c r="F68" s="712"/>
      <c r="G68" s="712"/>
      <c r="H68" s="712"/>
      <c r="I68" s="712"/>
      <c r="J68" s="712"/>
      <c r="K68" s="880"/>
    </row>
    <row r="69" spans="6:11" hidden="1" x14ac:dyDescent="0.3">
      <c r="F69" s="713" t="s">
        <v>462</v>
      </c>
      <c r="G69" s="713"/>
      <c r="H69" s="713"/>
      <c r="I69" s="713"/>
      <c r="J69" s="713"/>
      <c r="K69" s="880"/>
    </row>
    <row r="70" spans="6:11" hidden="1" x14ac:dyDescent="0.3">
      <c r="F70" s="714" t="s">
        <v>463</v>
      </c>
      <c r="G70" s="712"/>
      <c r="H70" s="712"/>
      <c r="I70" s="712"/>
      <c r="J70" s="712"/>
      <c r="K70" s="880"/>
    </row>
    <row r="71" spans="6:11" ht="14.4" hidden="1" thickBot="1" x14ac:dyDescent="0.35">
      <c r="F71" s="715"/>
      <c r="G71" s="712" t="s">
        <v>464</v>
      </c>
      <c r="H71" s="712"/>
      <c r="I71" s="712"/>
      <c r="J71" s="712"/>
      <c r="K71" s="880"/>
    </row>
    <row r="72" spans="6:11" ht="14.4" hidden="1" thickBot="1" x14ac:dyDescent="0.35">
      <c r="F72" s="716" t="s">
        <v>465</v>
      </c>
      <c r="G72" s="717">
        <f>SUM(G58,G59,G60,G61,G62,G63,G66,G67)</f>
        <v>0</v>
      </c>
      <c r="H72" s="717">
        <f>SUM(H58,H59,H60,H61,H62,H63,H66,H67)</f>
        <v>0</v>
      </c>
      <c r="I72" s="718">
        <f>SUM(I58,I59,I60,I61,I62,I63,I66,I67)</f>
        <v>0</v>
      </c>
      <c r="J72" s="712"/>
      <c r="K72" s="880"/>
    </row>
    <row r="73" spans="6:11" hidden="1" x14ac:dyDescent="0.3">
      <c r="F73" s="719" t="s">
        <v>466</v>
      </c>
      <c r="G73" s="720">
        <f>1-(EXP(-G$72))</f>
        <v>0</v>
      </c>
      <c r="H73" s="720">
        <f>1-(EXP(-H$72))</f>
        <v>0</v>
      </c>
      <c r="I73" s="720">
        <f>1-(EXP(-I$72))</f>
        <v>0</v>
      </c>
      <c r="J73" s="712"/>
      <c r="K73" s="880"/>
    </row>
    <row r="74" spans="6:11" hidden="1" x14ac:dyDescent="0.3">
      <c r="F74" s="721">
        <v>1</v>
      </c>
      <c r="G74" s="720">
        <f>_xlfn.POISSON.DIST(F74,$G$72,FALSE)</f>
        <v>0</v>
      </c>
      <c r="H74" s="720">
        <f>POISSON(F74,$H$72,FALSE)</f>
        <v>0</v>
      </c>
      <c r="I74" s="720">
        <f>POISSON(F74,$I$72,FALSE)</f>
        <v>0</v>
      </c>
      <c r="J74" s="712"/>
      <c r="K74" s="880"/>
    </row>
    <row r="75" spans="6:11" hidden="1" x14ac:dyDescent="0.3">
      <c r="F75" s="721">
        <v>2</v>
      </c>
      <c r="G75" s="720">
        <f>_xlfn.POISSON.DIST(F75,$G$72,FALSE)</f>
        <v>0</v>
      </c>
      <c r="H75" s="720">
        <f>POISSON(F75,$H$72,FALSE)</f>
        <v>0</v>
      </c>
      <c r="I75" s="720">
        <f>POISSON(F75,$I$72,FALSE)</f>
        <v>0</v>
      </c>
      <c r="J75" s="712"/>
      <c r="K75" s="880"/>
    </row>
    <row r="76" spans="6:11" hidden="1" x14ac:dyDescent="0.3">
      <c r="F76" s="721">
        <v>3</v>
      </c>
      <c r="G76" s="720">
        <f>_xlfn.POISSON.DIST(F76,$G$72,FALSE)</f>
        <v>0</v>
      </c>
      <c r="H76" s="720">
        <f>POISSON(F76,$H$72,FALSE)</f>
        <v>0</v>
      </c>
      <c r="I76" s="720">
        <f>POISSON(F76,$I$72,FALSE)</f>
        <v>0</v>
      </c>
      <c r="J76" s="712"/>
      <c r="K76" s="880"/>
    </row>
    <row r="77" spans="6:11" hidden="1" x14ac:dyDescent="0.3">
      <c r="F77" s="721">
        <v>4</v>
      </c>
      <c r="G77" s="720">
        <f>_xlfn.POISSON.DIST(F77,$G$72,FALSE)</f>
        <v>0</v>
      </c>
      <c r="H77" s="720">
        <f>POISSON(F77,$H$72,FALSE)</f>
        <v>0</v>
      </c>
      <c r="I77" s="720">
        <f>POISSON(F77,$I$72,FALSE)</f>
        <v>0</v>
      </c>
      <c r="J77" s="712"/>
      <c r="K77" s="880"/>
    </row>
    <row r="78" spans="6:11" hidden="1" x14ac:dyDescent="0.3">
      <c r="F78" s="721">
        <v>5</v>
      </c>
      <c r="G78" s="720">
        <f>_xlfn.POISSON.DIST(F78,$G$72,FALSE)</f>
        <v>0</v>
      </c>
      <c r="H78" s="720">
        <f>POISSON(F78,$H$72,FALSE)</f>
        <v>0</v>
      </c>
      <c r="I78" s="720">
        <f>POISSON(F78,$I$72,FALSE)</f>
        <v>0</v>
      </c>
      <c r="J78" s="712"/>
      <c r="K78" s="880"/>
    </row>
    <row r="79" spans="6:11" hidden="1" x14ac:dyDescent="0.3">
      <c r="F79" s="880"/>
      <c r="G79" s="880"/>
      <c r="H79" s="880"/>
      <c r="I79" s="880"/>
      <c r="J79" s="880"/>
      <c r="K79" s="880"/>
    </row>
    <row r="80" spans="6:11" hidden="1" x14ac:dyDescent="0.3">
      <c r="F80" s="722" t="s">
        <v>467</v>
      </c>
      <c r="G80" s="723">
        <f>C22</f>
        <v>0</v>
      </c>
      <c r="H80" s="713" t="s">
        <v>468</v>
      </c>
      <c r="I80" s="712"/>
      <c r="J80" s="712"/>
      <c r="K80" s="880"/>
    </row>
    <row r="81" spans="6:10" hidden="1" x14ac:dyDescent="0.3">
      <c r="F81" s="716" t="s">
        <v>465</v>
      </c>
      <c r="G81" s="724"/>
      <c r="H81" s="724"/>
      <c r="I81" s="724"/>
      <c r="J81" s="712"/>
    </row>
    <row r="82" spans="6:10" hidden="1" x14ac:dyDescent="0.3">
      <c r="F82" s="719" t="s">
        <v>466</v>
      </c>
      <c r="G82" s="720">
        <f t="shared" ref="G82:I87" si="0">1-(1-G73)^$C$22</f>
        <v>0</v>
      </c>
      <c r="H82" s="720">
        <f t="shared" si="0"/>
        <v>0</v>
      </c>
      <c r="I82" s="720">
        <f t="shared" si="0"/>
        <v>0</v>
      </c>
      <c r="J82" s="712"/>
    </row>
    <row r="83" spans="6:10" ht="14.4" hidden="1" thickBot="1" x14ac:dyDescent="0.35">
      <c r="F83" s="721">
        <v>1</v>
      </c>
      <c r="G83" s="720">
        <f t="shared" si="0"/>
        <v>0</v>
      </c>
      <c r="H83" s="720">
        <f t="shared" si="0"/>
        <v>0</v>
      </c>
      <c r="I83" s="720">
        <f t="shared" si="0"/>
        <v>0</v>
      </c>
      <c r="J83" s="712"/>
    </row>
    <row r="84" spans="6:10" ht="14.4" hidden="1" thickBot="1" x14ac:dyDescent="0.35">
      <c r="F84" s="721">
        <v>2</v>
      </c>
      <c r="G84" s="725">
        <f t="shared" si="0"/>
        <v>0</v>
      </c>
      <c r="H84" s="720">
        <f t="shared" si="0"/>
        <v>0</v>
      </c>
      <c r="I84" s="720">
        <f t="shared" si="0"/>
        <v>0</v>
      </c>
      <c r="J84" s="712"/>
    </row>
    <row r="85" spans="6:10" hidden="1" x14ac:dyDescent="0.3">
      <c r="F85" s="721">
        <v>3</v>
      </c>
      <c r="G85" s="720">
        <f t="shared" si="0"/>
        <v>0</v>
      </c>
      <c r="H85" s="720">
        <f t="shared" si="0"/>
        <v>0</v>
      </c>
      <c r="I85" s="720">
        <f t="shared" si="0"/>
        <v>0</v>
      </c>
      <c r="J85" s="712"/>
    </row>
    <row r="86" spans="6:10" hidden="1" x14ac:dyDescent="0.3">
      <c r="F86" s="721">
        <v>4</v>
      </c>
      <c r="G86" s="720">
        <f t="shared" si="0"/>
        <v>0</v>
      </c>
      <c r="H86" s="720">
        <f t="shared" si="0"/>
        <v>0</v>
      </c>
      <c r="I86" s="720">
        <f t="shared" si="0"/>
        <v>0</v>
      </c>
      <c r="J86" s="712"/>
    </row>
    <row r="87" spans="6:10" hidden="1" x14ac:dyDescent="0.3">
      <c r="F87" s="721">
        <v>5</v>
      </c>
      <c r="G87" s="720">
        <f t="shared" si="0"/>
        <v>0</v>
      </c>
      <c r="H87" s="720">
        <f t="shared" si="0"/>
        <v>0</v>
      </c>
      <c r="I87" s="720">
        <f t="shared" si="0"/>
        <v>0</v>
      </c>
      <c r="J87" s="712"/>
    </row>
  </sheetData>
  <sheetProtection formatCells="0" formatColumns="0" formatRows="0" insertColumns="0" insertRows="0" insertHyperlinks="0" deleteColumns="0" deleteRows="0" sort="0" autoFilter="0" pivotTables="0"/>
  <mergeCells count="73">
    <mergeCell ref="F64:J64"/>
    <mergeCell ref="F55:J55"/>
    <mergeCell ref="A49:D50"/>
    <mergeCell ref="F56:J56"/>
    <mergeCell ref="J58:J59"/>
    <mergeCell ref="A52:D53"/>
    <mergeCell ref="J60:J61"/>
    <mergeCell ref="A46:D46"/>
    <mergeCell ref="A36:A37"/>
    <mergeCell ref="B36:B37"/>
    <mergeCell ref="J62:J63"/>
    <mergeCell ref="J31:J32"/>
    <mergeCell ref="D36:D37"/>
    <mergeCell ref="P31:P32"/>
    <mergeCell ref="V31:V32"/>
    <mergeCell ref="A47:D47"/>
    <mergeCell ref="J33:J34"/>
    <mergeCell ref="P33:P34"/>
    <mergeCell ref="V33:V34"/>
    <mergeCell ref="B42:D42"/>
    <mergeCell ref="J35:J36"/>
    <mergeCell ref="P35:P36"/>
    <mergeCell ref="V35:V36"/>
    <mergeCell ref="B39:D39"/>
    <mergeCell ref="A43:D45"/>
    <mergeCell ref="F37:J37"/>
    <mergeCell ref="L37:P37"/>
    <mergeCell ref="R37:V37"/>
    <mergeCell ref="C36:C37"/>
    <mergeCell ref="A24:B24"/>
    <mergeCell ref="F21:J21"/>
    <mergeCell ref="L21:P21"/>
    <mergeCell ref="R21:V21"/>
    <mergeCell ref="A26:B26"/>
    <mergeCell ref="A21:B21"/>
    <mergeCell ref="F26:V26"/>
    <mergeCell ref="A22:B22"/>
    <mergeCell ref="R12:U12"/>
    <mergeCell ref="F11:V11"/>
    <mergeCell ref="F10:V10"/>
    <mergeCell ref="A10:B10"/>
    <mergeCell ref="T2:U2"/>
    <mergeCell ref="R2:S2"/>
    <mergeCell ref="A1:J2"/>
    <mergeCell ref="A3:J3"/>
    <mergeCell ref="C12:D12"/>
    <mergeCell ref="F12:J12"/>
    <mergeCell ref="L12:O12"/>
    <mergeCell ref="F13:J13"/>
    <mergeCell ref="L13:P13"/>
    <mergeCell ref="R13:V13"/>
    <mergeCell ref="B29:D29"/>
    <mergeCell ref="A14:B14"/>
    <mergeCell ref="A15:B15"/>
    <mergeCell ref="J15:J16"/>
    <mergeCell ref="P15:P16"/>
    <mergeCell ref="A20:B20"/>
    <mergeCell ref="F27:V27"/>
    <mergeCell ref="F28:J28"/>
    <mergeCell ref="L28:O28"/>
    <mergeCell ref="R28:U28"/>
    <mergeCell ref="F29:J29"/>
    <mergeCell ref="L29:P29"/>
    <mergeCell ref="R29:V29"/>
    <mergeCell ref="J19:J20"/>
    <mergeCell ref="P19:P20"/>
    <mergeCell ref="V19:V20"/>
    <mergeCell ref="V15:V16"/>
    <mergeCell ref="A17:B17"/>
    <mergeCell ref="A18:B18"/>
    <mergeCell ref="J17:J18"/>
    <mergeCell ref="P17:P18"/>
    <mergeCell ref="V17:V18"/>
  </mergeCells>
  <conditionalFormatting sqref="G73:I78">
    <cfRule type="cellIs" dxfId="3" priority="5" operator="greaterThan">
      <formula>0.1</formula>
    </cfRule>
  </conditionalFormatting>
  <conditionalFormatting sqref="G82:I87">
    <cfRule type="cellIs" dxfId="2" priority="4" operator="greaterThan">
      <formula>0.1</formula>
    </cfRule>
  </conditionalFormatting>
  <hyperlinks>
    <hyperlink ref="F70" r:id="rId1" display="http://stattrek.com/online-calculator/poisson.aspx" xr:uid="{00000000-0004-0000-0400-000000000000}"/>
    <hyperlink ref="A47" r:id="rId2" xr:uid="{00000000-0004-0000-0400-000001000000}"/>
  </hyperlinks>
  <pageMargins left="0.7" right="0.7" top="0.75" bottom="0.75" header="0.3" footer="0.3"/>
  <pageSetup orientation="portrait" r:id="rId3"/>
  <drawing r:id="rId4"/>
  <extLst>
    <ext xmlns:x14="http://schemas.microsoft.com/office/spreadsheetml/2009/9/main" uri="{78C0D931-6437-407d-A8EE-F0AAD7539E65}">
      <x14:conditionalFormattings>
        <x14:conditionalFormatting xmlns:xm="http://schemas.microsoft.com/office/excel/2006/main">
          <x14:cfRule type="expression" priority="2" id="{FB51DBD9-B1D7-4AA8-A692-B5B40741D6D0}">
            <xm:f>IF('Pile Driving Data and Effects'!$E$10="Y",1)</xm:f>
            <x14:dxf>
              <font>
                <color theme="0"/>
              </font>
              <fill>
                <patternFill>
                  <bgColor theme="0"/>
                </patternFill>
              </fill>
            </x14:dxf>
          </x14:cfRule>
          <xm:sqref>L12:P24 L28:P40</xm:sqref>
        </x14:conditionalFormatting>
        <x14:conditionalFormatting xmlns:xm="http://schemas.microsoft.com/office/excel/2006/main">
          <x14:cfRule type="expression" priority="1" id="{E8CF27EF-CF6D-4C5E-9AA9-B2DCEBE9C6A2}">
            <xm:f>IF('Pile Driving Data and Effects'!$E$10="N",1)</xm:f>
            <x14:dxf>
              <font>
                <color theme="0"/>
              </font>
              <fill>
                <patternFill>
                  <bgColor theme="0"/>
                </patternFill>
              </fill>
            </x14:dxf>
          </x14:cfRule>
          <xm:sqref>R12:V24 R28:V40</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4">
    <tabColor theme="2" tint="-0.749992370372631"/>
  </sheetPr>
  <dimension ref="A1:L34"/>
  <sheetViews>
    <sheetView zoomScale="90" zoomScaleNormal="90" workbookViewId="0">
      <pane ySplit="2" topLeftCell="A3" activePane="bottomLeft" state="frozen"/>
      <selection pane="bottomLeft" activeCell="A3" sqref="A3"/>
    </sheetView>
  </sheetViews>
  <sheetFormatPr defaultColWidth="9.21875" defaultRowHeight="13.8" x14ac:dyDescent="0.3"/>
  <cols>
    <col min="1" max="1" width="3.77734375" style="288" customWidth="1"/>
    <col min="2" max="3" width="11.21875" style="277" customWidth="1"/>
    <col min="4" max="4" width="11.21875" style="281" customWidth="1"/>
    <col min="5" max="5" width="16.5546875" style="281" customWidth="1"/>
    <col min="6" max="8" width="7" style="279" customWidth="1"/>
    <col min="9" max="9" width="12.5546875" style="279" customWidth="1"/>
    <col min="10" max="10" width="12.5546875" style="285" customWidth="1"/>
    <col min="11" max="11" width="11.21875" style="361" customWidth="1"/>
    <col min="12" max="12" width="63.77734375" style="334" customWidth="1"/>
    <col min="13" max="16384" width="9.21875" style="277"/>
  </cols>
  <sheetData>
    <row r="1" spans="2:12" ht="43.5" customHeight="1" thickBot="1" x14ac:dyDescent="0.35">
      <c r="B1" s="1581" t="s">
        <v>591</v>
      </c>
      <c r="C1" s="1581"/>
      <c r="D1" s="1581"/>
      <c r="E1" s="1581"/>
      <c r="F1" s="1581"/>
      <c r="G1" s="1581"/>
      <c r="H1" s="1581"/>
      <c r="I1" s="1581"/>
      <c r="J1" s="1581"/>
      <c r="K1" s="1581"/>
      <c r="L1" s="1581"/>
    </row>
    <row r="2" spans="2:12" ht="28.2" thickBot="1" x14ac:dyDescent="0.35">
      <c r="B2" s="341" t="s">
        <v>52</v>
      </c>
      <c r="C2" s="341" t="s">
        <v>54</v>
      </c>
      <c r="D2" s="342" t="s">
        <v>592</v>
      </c>
      <c r="E2" s="286" t="s">
        <v>593</v>
      </c>
      <c r="F2" s="275" t="s">
        <v>594</v>
      </c>
      <c r="G2" s="275" t="s">
        <v>595</v>
      </c>
      <c r="H2" s="275" t="s">
        <v>596</v>
      </c>
      <c r="I2" s="276" t="s">
        <v>597</v>
      </c>
      <c r="J2" s="333" t="s">
        <v>598</v>
      </c>
      <c r="K2" s="286" t="s">
        <v>599</v>
      </c>
      <c r="L2" s="276" t="s">
        <v>600</v>
      </c>
    </row>
    <row r="3" spans="2:12" ht="27.6" x14ac:dyDescent="0.3">
      <c r="B3" s="329" t="s">
        <v>601</v>
      </c>
      <c r="C3" s="328" t="s">
        <v>602</v>
      </c>
      <c r="D3" s="329" t="s">
        <v>603</v>
      </c>
      <c r="E3" s="328" t="str">
        <f t="shared" ref="E3:E9" si="0">CONCATENATE(B3,C3,D3)</f>
        <v>ConcreteHollow36-inch</v>
      </c>
      <c r="F3" s="278">
        <v>196</v>
      </c>
      <c r="G3" s="278">
        <v>179</v>
      </c>
      <c r="H3" s="278">
        <v>164</v>
      </c>
      <c r="I3" s="332">
        <v>10</v>
      </c>
      <c r="J3" s="332" t="s">
        <v>604</v>
      </c>
      <c r="K3" s="278" t="s">
        <v>605</v>
      </c>
      <c r="L3" s="335" t="s">
        <v>606</v>
      </c>
    </row>
    <row r="4" spans="2:12" ht="27.6" x14ac:dyDescent="0.3">
      <c r="B4" s="324" t="s">
        <v>601</v>
      </c>
      <c r="C4" s="965" t="s">
        <v>607</v>
      </c>
      <c r="D4" s="324" t="s">
        <v>608</v>
      </c>
      <c r="E4" s="965" t="str">
        <f t="shared" si="0"/>
        <v>ConcreteOctagonal24-inch</v>
      </c>
      <c r="F4" s="973">
        <v>186</v>
      </c>
      <c r="G4" s="973">
        <v>177</v>
      </c>
      <c r="H4" s="973">
        <v>163</v>
      </c>
      <c r="I4" s="970">
        <v>50</v>
      </c>
      <c r="J4" s="970" t="s">
        <v>604</v>
      </c>
      <c r="K4" s="973" t="s">
        <v>609</v>
      </c>
      <c r="L4" s="327" t="s">
        <v>610</v>
      </c>
    </row>
    <row r="5" spans="2:12" ht="27.6" x14ac:dyDescent="0.3">
      <c r="B5" s="324" t="s">
        <v>601</v>
      </c>
      <c r="C5" s="965" t="s">
        <v>611</v>
      </c>
      <c r="D5" s="324" t="s">
        <v>608</v>
      </c>
      <c r="E5" s="965" t="str">
        <f t="shared" si="0"/>
        <v>ConcreteSolidOctagonal24-inch</v>
      </c>
      <c r="F5" s="973">
        <v>184</v>
      </c>
      <c r="G5" s="973">
        <v>170</v>
      </c>
      <c r="H5" s="973">
        <v>184</v>
      </c>
      <c r="I5" s="970">
        <v>10</v>
      </c>
      <c r="J5" s="970" t="s">
        <v>604</v>
      </c>
      <c r="K5" s="973" t="s">
        <v>609</v>
      </c>
      <c r="L5" s="327" t="s">
        <v>612</v>
      </c>
    </row>
    <row r="6" spans="2:12" ht="55.2" x14ac:dyDescent="0.3">
      <c r="B6" s="324" t="s">
        <v>601</v>
      </c>
      <c r="C6" s="965" t="s">
        <v>613</v>
      </c>
      <c r="D6" s="965" t="s">
        <v>614</v>
      </c>
      <c r="E6" s="965" t="str">
        <f t="shared" si="0"/>
        <v>ConcreteSquare18-inch Square w/ bubble curtain</v>
      </c>
      <c r="F6" s="278">
        <v>186</v>
      </c>
      <c r="G6" s="278">
        <v>171</v>
      </c>
      <c r="H6" s="278">
        <v>156</v>
      </c>
      <c r="I6" s="282">
        <v>10</v>
      </c>
      <c r="J6" s="971" t="s">
        <v>615</v>
      </c>
      <c r="K6" s="973" t="s">
        <v>609</v>
      </c>
      <c r="L6" s="327" t="s">
        <v>616</v>
      </c>
    </row>
    <row r="7" spans="2:12" ht="27.6" x14ac:dyDescent="0.3">
      <c r="B7" s="329" t="s">
        <v>601</v>
      </c>
      <c r="C7" s="329" t="s">
        <v>617</v>
      </c>
      <c r="D7" s="280" t="s">
        <v>608</v>
      </c>
      <c r="E7" s="328" t="str">
        <f t="shared" si="0"/>
        <v>ConcreteUnspecifiedConc24-inch</v>
      </c>
      <c r="F7" s="278">
        <v>185</v>
      </c>
      <c r="G7" s="278">
        <v>173</v>
      </c>
      <c r="H7" s="278">
        <v>163</v>
      </c>
      <c r="I7" s="282">
        <v>10</v>
      </c>
      <c r="J7" s="971" t="s">
        <v>618</v>
      </c>
      <c r="K7" s="972" t="s">
        <v>609</v>
      </c>
      <c r="L7" s="327"/>
    </row>
    <row r="8" spans="2:12" ht="27.6" x14ac:dyDescent="0.3">
      <c r="B8" s="324" t="s">
        <v>619</v>
      </c>
      <c r="C8" s="324" t="s">
        <v>620</v>
      </c>
      <c r="D8" s="280" t="s">
        <v>621</v>
      </c>
      <c r="E8" s="965" t="str">
        <f t="shared" si="0"/>
        <v>PlasticUnspecifiedPlas13-inch</v>
      </c>
      <c r="F8" s="278">
        <v>177</v>
      </c>
      <c r="G8" s="278">
        <v>153</v>
      </c>
      <c r="H8" s="278"/>
      <c r="I8" s="282">
        <v>10</v>
      </c>
      <c r="J8" s="971" t="s">
        <v>622</v>
      </c>
      <c r="K8" s="972" t="s">
        <v>609</v>
      </c>
      <c r="L8" s="336"/>
    </row>
    <row r="9" spans="2:12" x14ac:dyDescent="0.3">
      <c r="B9" s="324" t="s">
        <v>623</v>
      </c>
      <c r="C9" s="324" t="s">
        <v>624</v>
      </c>
      <c r="D9" s="965" t="s">
        <v>625</v>
      </c>
      <c r="E9" s="965" t="str">
        <f t="shared" si="0"/>
        <v xml:space="preserve">SteelH10-inch </v>
      </c>
      <c r="F9" s="973">
        <v>190</v>
      </c>
      <c r="G9" s="973">
        <v>175</v>
      </c>
      <c r="H9" s="973"/>
      <c r="I9" s="283">
        <v>10</v>
      </c>
      <c r="J9" s="284" t="s">
        <v>618</v>
      </c>
      <c r="K9" s="970" t="s">
        <v>609</v>
      </c>
      <c r="L9" s="336" t="s">
        <v>626</v>
      </c>
    </row>
    <row r="10" spans="2:12" ht="27.6" x14ac:dyDescent="0.3">
      <c r="B10" s="324" t="s">
        <v>623</v>
      </c>
      <c r="C10" s="324" t="s">
        <v>624</v>
      </c>
      <c r="D10" s="965" t="s">
        <v>627</v>
      </c>
      <c r="E10" s="965" t="str">
        <f t="shared" ref="E10:E34" si="1">CONCATENATE(B10,C10,D10)</f>
        <v>SteelH12-inch (battered)</v>
      </c>
      <c r="F10" s="973">
        <v>195</v>
      </c>
      <c r="G10" s="973">
        <v>176</v>
      </c>
      <c r="H10" s="973">
        <v>166</v>
      </c>
      <c r="I10" s="283">
        <v>5</v>
      </c>
      <c r="J10" s="284" t="s">
        <v>618</v>
      </c>
      <c r="K10" s="970" t="s">
        <v>609</v>
      </c>
      <c r="L10" s="327" t="s">
        <v>628</v>
      </c>
    </row>
    <row r="11" spans="2:12" ht="27.6" x14ac:dyDescent="0.3">
      <c r="B11" s="324" t="s">
        <v>623</v>
      </c>
      <c r="C11" s="324" t="s">
        <v>624</v>
      </c>
      <c r="D11" s="965" t="s">
        <v>629</v>
      </c>
      <c r="E11" s="965" t="str">
        <f t="shared" si="1"/>
        <v>SteelH12-inch (thin)</v>
      </c>
      <c r="F11" s="973">
        <v>190</v>
      </c>
      <c r="G11" s="973">
        <v>175</v>
      </c>
      <c r="H11" s="973">
        <v>160</v>
      </c>
      <c r="I11" s="283">
        <v>10</v>
      </c>
      <c r="J11" s="284" t="s">
        <v>622</v>
      </c>
      <c r="K11" s="970" t="s">
        <v>609</v>
      </c>
      <c r="L11" s="336"/>
    </row>
    <row r="12" spans="2:12" ht="27.6" x14ac:dyDescent="0.3">
      <c r="B12" s="324" t="s">
        <v>623</v>
      </c>
      <c r="C12" s="324" t="s">
        <v>624</v>
      </c>
      <c r="D12" s="965" t="s">
        <v>630</v>
      </c>
      <c r="E12" s="965" t="str">
        <f t="shared" si="1"/>
        <v>SteelH12-inch (thick)</v>
      </c>
      <c r="F12" s="973">
        <v>200</v>
      </c>
      <c r="G12" s="973">
        <v>183</v>
      </c>
      <c r="H12" s="973">
        <v>170</v>
      </c>
      <c r="I12" s="283">
        <v>10</v>
      </c>
      <c r="J12" s="284" t="s">
        <v>622</v>
      </c>
      <c r="K12" s="970" t="s">
        <v>609</v>
      </c>
      <c r="L12" s="336"/>
    </row>
    <row r="13" spans="2:12" ht="27.6" x14ac:dyDescent="0.3">
      <c r="B13" s="324" t="s">
        <v>623</v>
      </c>
      <c r="C13" s="324" t="s">
        <v>624</v>
      </c>
      <c r="D13" s="965" t="s">
        <v>631</v>
      </c>
      <c r="E13" s="965" t="str">
        <f t="shared" si="1"/>
        <v>SteelH14-inch</v>
      </c>
      <c r="F13" s="973">
        <v>194</v>
      </c>
      <c r="G13" s="973">
        <v>183</v>
      </c>
      <c r="H13" s="973">
        <v>170</v>
      </c>
      <c r="I13" s="283">
        <v>10</v>
      </c>
      <c r="J13" s="284" t="s">
        <v>622</v>
      </c>
      <c r="K13" s="970" t="s">
        <v>609</v>
      </c>
      <c r="L13" s="336"/>
    </row>
    <row r="14" spans="2:12" ht="27.6" x14ac:dyDescent="0.3">
      <c r="B14" s="324" t="s">
        <v>623</v>
      </c>
      <c r="C14" s="324" t="s">
        <v>624</v>
      </c>
      <c r="D14" s="965" t="s">
        <v>632</v>
      </c>
      <c r="E14" s="965" t="str">
        <f t="shared" si="1"/>
        <v>SteelH14-inch
(thick)</v>
      </c>
      <c r="F14" s="973">
        <v>208</v>
      </c>
      <c r="G14" s="973"/>
      <c r="H14" s="973">
        <v>177</v>
      </c>
      <c r="I14" s="283">
        <v>10</v>
      </c>
      <c r="J14" s="284" t="s">
        <v>622</v>
      </c>
      <c r="K14" s="970" t="s">
        <v>609</v>
      </c>
      <c r="L14" s="336"/>
    </row>
    <row r="15" spans="2:12" ht="41.4" x14ac:dyDescent="0.3">
      <c r="B15" s="324" t="s">
        <v>623</v>
      </c>
      <c r="C15" s="324" t="s">
        <v>624</v>
      </c>
      <c r="D15" s="965" t="s">
        <v>633</v>
      </c>
      <c r="E15" s="965" t="str">
        <f t="shared" si="1"/>
        <v>SteelH15-inch
(battered and thin)</v>
      </c>
      <c r="F15" s="973">
        <v>190</v>
      </c>
      <c r="G15" s="973">
        <v>165</v>
      </c>
      <c r="H15" s="973">
        <v>155</v>
      </c>
      <c r="I15" s="283">
        <v>10</v>
      </c>
      <c r="J15" s="284" t="s">
        <v>618</v>
      </c>
      <c r="K15" s="970" t="s">
        <v>609</v>
      </c>
      <c r="L15" s="327" t="s">
        <v>634</v>
      </c>
    </row>
    <row r="16" spans="2:12" ht="41.4" x14ac:dyDescent="0.3">
      <c r="B16" s="324" t="s">
        <v>623</v>
      </c>
      <c r="C16" s="324" t="s">
        <v>624</v>
      </c>
      <c r="D16" s="965" t="s">
        <v>635</v>
      </c>
      <c r="E16" s="965" t="str">
        <f t="shared" si="1"/>
        <v>SteelH15-inch
(thick)</v>
      </c>
      <c r="F16" s="973">
        <v>195</v>
      </c>
      <c r="G16" s="973">
        <v>180</v>
      </c>
      <c r="H16" s="973">
        <v>170</v>
      </c>
      <c r="I16" s="283">
        <v>10</v>
      </c>
      <c r="J16" s="284" t="s">
        <v>618</v>
      </c>
      <c r="K16" s="970" t="s">
        <v>609</v>
      </c>
      <c r="L16" s="327" t="s">
        <v>634</v>
      </c>
    </row>
    <row r="17" spans="2:12" ht="55.2" x14ac:dyDescent="0.3">
      <c r="B17" s="324" t="s">
        <v>623</v>
      </c>
      <c r="C17" s="324" t="s">
        <v>636</v>
      </c>
      <c r="D17" s="965" t="s">
        <v>637</v>
      </c>
      <c r="E17" s="965" t="str">
        <f t="shared" si="1"/>
        <v>SteelPipe8-inch</v>
      </c>
      <c r="F17" s="278">
        <v>184</v>
      </c>
      <c r="G17" s="278"/>
      <c r="H17" s="278"/>
      <c r="I17" s="282">
        <v>10</v>
      </c>
      <c r="J17" s="971" t="s">
        <v>638</v>
      </c>
      <c r="K17" s="970" t="s">
        <v>609</v>
      </c>
      <c r="L17" s="337" t="s">
        <v>639</v>
      </c>
    </row>
    <row r="18" spans="2:12" ht="27.6" x14ac:dyDescent="0.3">
      <c r="B18" s="324" t="s">
        <v>623</v>
      </c>
      <c r="C18" s="324" t="s">
        <v>636</v>
      </c>
      <c r="D18" s="965" t="s">
        <v>640</v>
      </c>
      <c r="E18" s="965" t="str">
        <f t="shared" si="1"/>
        <v>SteelPipe12-inch</v>
      </c>
      <c r="F18" s="973">
        <v>207</v>
      </c>
      <c r="G18" s="973">
        <v>189</v>
      </c>
      <c r="H18" s="973">
        <v>173</v>
      </c>
      <c r="I18" s="283">
        <v>10</v>
      </c>
      <c r="J18" s="284" t="s">
        <v>641</v>
      </c>
      <c r="K18" s="970" t="s">
        <v>609</v>
      </c>
      <c r="L18" s="327" t="s">
        <v>642</v>
      </c>
    </row>
    <row r="19" spans="2:12" x14ac:dyDescent="0.3">
      <c r="B19" s="324" t="s">
        <v>623</v>
      </c>
      <c r="C19" s="324" t="s">
        <v>636</v>
      </c>
      <c r="D19" s="965" t="s">
        <v>621</v>
      </c>
      <c r="E19" s="965" t="str">
        <f t="shared" si="1"/>
        <v>SteelPipe13-inch</v>
      </c>
      <c r="F19" s="973">
        <v>185</v>
      </c>
      <c r="G19" s="973">
        <v>170</v>
      </c>
      <c r="H19" s="973"/>
      <c r="I19" s="283">
        <v>10</v>
      </c>
      <c r="J19" s="284" t="s">
        <v>618</v>
      </c>
      <c r="K19" s="970" t="s">
        <v>609</v>
      </c>
      <c r="L19" s="336"/>
    </row>
    <row r="20" spans="2:12" ht="27.6" x14ac:dyDescent="0.3">
      <c r="B20" s="324" t="s">
        <v>623</v>
      </c>
      <c r="C20" s="324" t="s">
        <v>636</v>
      </c>
      <c r="D20" s="965" t="s">
        <v>631</v>
      </c>
      <c r="E20" s="965" t="str">
        <f t="shared" si="1"/>
        <v>SteelPipe14-inch</v>
      </c>
      <c r="F20" s="973">
        <v>200</v>
      </c>
      <c r="G20" s="973">
        <v>184</v>
      </c>
      <c r="H20" s="973">
        <v>174</v>
      </c>
      <c r="I20" s="283">
        <v>10</v>
      </c>
      <c r="J20" s="284" t="s">
        <v>622</v>
      </c>
      <c r="K20" s="970" t="s">
        <v>609</v>
      </c>
      <c r="L20" s="336"/>
    </row>
    <row r="21" spans="2:12" ht="55.2" x14ac:dyDescent="0.3">
      <c r="B21" s="324" t="s">
        <v>623</v>
      </c>
      <c r="C21" s="324" t="s">
        <v>636</v>
      </c>
      <c r="D21" s="325" t="s">
        <v>643</v>
      </c>
      <c r="E21" s="965" t="str">
        <f t="shared" si="1"/>
        <v>SteelPipe16-inch</v>
      </c>
      <c r="F21" s="296">
        <v>200</v>
      </c>
      <c r="G21" s="296">
        <v>186</v>
      </c>
      <c r="H21" s="296">
        <v>174</v>
      </c>
      <c r="I21" s="297">
        <v>9</v>
      </c>
      <c r="J21" s="298" t="s">
        <v>644</v>
      </c>
      <c r="K21" s="435" t="s">
        <v>609</v>
      </c>
      <c r="L21" s="338" t="s">
        <v>645</v>
      </c>
    </row>
    <row r="22" spans="2:12" ht="41.4" x14ac:dyDescent="0.3">
      <c r="B22" s="324" t="s">
        <v>623</v>
      </c>
      <c r="C22" s="324" t="s">
        <v>636</v>
      </c>
      <c r="D22" s="325" t="s">
        <v>646</v>
      </c>
      <c r="E22" s="965" t="str">
        <f t="shared" si="1"/>
        <v>SteelPipe20-inch</v>
      </c>
      <c r="F22" s="296">
        <v>210</v>
      </c>
      <c r="G22" s="296">
        <v>190</v>
      </c>
      <c r="H22" s="296">
        <v>176</v>
      </c>
      <c r="I22" s="297">
        <v>10</v>
      </c>
      <c r="J22" s="298" t="s">
        <v>647</v>
      </c>
      <c r="K22" s="435" t="s">
        <v>609</v>
      </c>
      <c r="L22" s="338" t="s">
        <v>648</v>
      </c>
    </row>
    <row r="23" spans="2:12" ht="41.4" x14ac:dyDescent="0.3">
      <c r="B23" s="324" t="s">
        <v>623</v>
      </c>
      <c r="C23" s="324" t="s">
        <v>636</v>
      </c>
      <c r="D23" s="326" t="s">
        <v>608</v>
      </c>
      <c r="E23" s="326" t="str">
        <f t="shared" si="1"/>
        <v>SteelPipe24-inch</v>
      </c>
      <c r="F23" s="299">
        <v>207</v>
      </c>
      <c r="G23" s="299">
        <v>194</v>
      </c>
      <c r="H23" s="299">
        <v>178</v>
      </c>
      <c r="I23" s="300">
        <v>10</v>
      </c>
      <c r="J23" s="301" t="s">
        <v>622</v>
      </c>
      <c r="K23" s="436" t="s">
        <v>609</v>
      </c>
      <c r="L23" s="340" t="s">
        <v>649</v>
      </c>
    </row>
    <row r="24" spans="2:12" ht="27.6" x14ac:dyDescent="0.3">
      <c r="B24" s="324" t="s">
        <v>623</v>
      </c>
      <c r="C24" s="324" t="s">
        <v>636</v>
      </c>
      <c r="D24" s="326" t="s">
        <v>650</v>
      </c>
      <c r="E24" s="965" t="str">
        <f t="shared" si="1"/>
        <v>SteelPipe30-inch</v>
      </c>
      <c r="F24" s="299">
        <v>210</v>
      </c>
      <c r="G24" s="299">
        <v>190</v>
      </c>
      <c r="H24" s="299">
        <v>177</v>
      </c>
      <c r="I24" s="300">
        <v>10</v>
      </c>
      <c r="J24" s="301" t="s">
        <v>622</v>
      </c>
      <c r="K24" s="436" t="s">
        <v>605</v>
      </c>
      <c r="L24" s="339"/>
    </row>
    <row r="25" spans="2:12" ht="27.6" x14ac:dyDescent="0.3">
      <c r="B25" s="324" t="s">
        <v>623</v>
      </c>
      <c r="C25" s="324" t="s">
        <v>636</v>
      </c>
      <c r="D25" s="326" t="s">
        <v>603</v>
      </c>
      <c r="E25" s="965" t="str">
        <f t="shared" si="1"/>
        <v>SteelPipe36-inch</v>
      </c>
      <c r="F25" s="299">
        <v>214</v>
      </c>
      <c r="G25" s="299">
        <v>185</v>
      </c>
      <c r="H25" s="299">
        <v>186</v>
      </c>
      <c r="I25" s="300">
        <v>10</v>
      </c>
      <c r="J25" s="301" t="s">
        <v>651</v>
      </c>
      <c r="K25" s="436" t="s">
        <v>605</v>
      </c>
      <c r="L25" s="340" t="s">
        <v>652</v>
      </c>
    </row>
    <row r="26" spans="2:12" x14ac:dyDescent="0.3">
      <c r="B26" s="324" t="s">
        <v>623</v>
      </c>
      <c r="C26" s="324" t="s">
        <v>636</v>
      </c>
      <c r="D26" s="326" t="s">
        <v>653</v>
      </c>
      <c r="E26" s="965" t="str">
        <f t="shared" si="1"/>
        <v>SteelPipe40-inch</v>
      </c>
      <c r="F26" s="299">
        <v>208</v>
      </c>
      <c r="G26" s="299">
        <v>195</v>
      </c>
      <c r="H26" s="299">
        <v>180</v>
      </c>
      <c r="I26" s="300">
        <v>10</v>
      </c>
      <c r="J26" s="301" t="s">
        <v>618</v>
      </c>
      <c r="K26" s="436" t="s">
        <v>605</v>
      </c>
      <c r="L26" s="340" t="s">
        <v>654</v>
      </c>
    </row>
    <row r="27" spans="2:12" ht="41.4" x14ac:dyDescent="0.3">
      <c r="B27" s="324" t="s">
        <v>623</v>
      </c>
      <c r="C27" s="324" t="s">
        <v>636</v>
      </c>
      <c r="D27" s="326" t="s">
        <v>655</v>
      </c>
      <c r="E27" s="965" t="str">
        <f t="shared" si="1"/>
        <v>SteelPipe48-inch</v>
      </c>
      <c r="F27" s="299">
        <v>205</v>
      </c>
      <c r="G27" s="299">
        <v>195</v>
      </c>
      <c r="H27" s="299">
        <v>185</v>
      </c>
      <c r="I27" s="300">
        <v>10</v>
      </c>
      <c r="J27" s="301" t="s">
        <v>618</v>
      </c>
      <c r="K27" s="436" t="s">
        <v>605</v>
      </c>
      <c r="L27" s="340" t="s">
        <v>656</v>
      </c>
    </row>
    <row r="28" spans="2:12" ht="27.6" x14ac:dyDescent="0.3">
      <c r="B28" s="324" t="s">
        <v>623</v>
      </c>
      <c r="C28" s="324" t="s">
        <v>636</v>
      </c>
      <c r="D28" s="326" t="s">
        <v>657</v>
      </c>
      <c r="E28" s="965" t="str">
        <f t="shared" si="1"/>
        <v>SteelPipe60-inch CISS</v>
      </c>
      <c r="F28" s="299">
        <v>210</v>
      </c>
      <c r="G28" s="299">
        <v>195</v>
      </c>
      <c r="H28" s="299">
        <v>185</v>
      </c>
      <c r="I28" s="300">
        <v>10</v>
      </c>
      <c r="J28" s="301" t="s">
        <v>622</v>
      </c>
      <c r="K28" s="436" t="s">
        <v>605</v>
      </c>
      <c r="L28" s="340"/>
    </row>
    <row r="29" spans="2:12" ht="27.6" x14ac:dyDescent="0.3">
      <c r="B29" s="324" t="s">
        <v>623</v>
      </c>
      <c r="C29" s="324" t="s">
        <v>636</v>
      </c>
      <c r="D29" s="326" t="s">
        <v>658</v>
      </c>
      <c r="E29" s="965" t="str">
        <f t="shared" si="1"/>
        <v>SteelPipe66-inch</v>
      </c>
      <c r="F29" s="299">
        <v>203</v>
      </c>
      <c r="G29" s="299">
        <v>185</v>
      </c>
      <c r="H29" s="299">
        <v>173</v>
      </c>
      <c r="I29" s="300">
        <v>30</v>
      </c>
      <c r="J29" s="301" t="s">
        <v>618</v>
      </c>
      <c r="K29" s="436" t="s">
        <v>605</v>
      </c>
      <c r="L29" s="340" t="s">
        <v>659</v>
      </c>
    </row>
    <row r="30" spans="2:12" x14ac:dyDescent="0.3">
      <c r="B30" s="324" t="s">
        <v>623</v>
      </c>
      <c r="C30" s="324" t="s">
        <v>636</v>
      </c>
      <c r="D30" s="326" t="s">
        <v>660</v>
      </c>
      <c r="E30" s="965" t="str">
        <f t="shared" si="1"/>
        <v>SteelPipe96-inch</v>
      </c>
      <c r="F30" s="299">
        <v>220</v>
      </c>
      <c r="G30" s="299">
        <v>205</v>
      </c>
      <c r="H30" s="299">
        <v>194</v>
      </c>
      <c r="I30" s="300">
        <v>10</v>
      </c>
      <c r="J30" s="301" t="s">
        <v>618</v>
      </c>
      <c r="K30" s="436" t="s">
        <v>605</v>
      </c>
      <c r="L30" s="340" t="s">
        <v>661</v>
      </c>
    </row>
    <row r="31" spans="2:12" ht="27.6" x14ac:dyDescent="0.3">
      <c r="B31" s="324" t="s">
        <v>623</v>
      </c>
      <c r="C31" s="324" t="s">
        <v>636</v>
      </c>
      <c r="D31" s="326" t="s">
        <v>662</v>
      </c>
      <c r="E31" s="965" t="str">
        <f t="shared" si="1"/>
        <v>SteelPipe96-inch CISS</v>
      </c>
      <c r="F31" s="299">
        <v>220</v>
      </c>
      <c r="G31" s="299">
        <v>205</v>
      </c>
      <c r="H31" s="299">
        <v>195</v>
      </c>
      <c r="I31" s="300">
        <v>10</v>
      </c>
      <c r="J31" s="301" t="s">
        <v>622</v>
      </c>
      <c r="K31" s="436" t="s">
        <v>605</v>
      </c>
      <c r="L31" s="340"/>
    </row>
    <row r="32" spans="2:12" x14ac:dyDescent="0.3">
      <c r="B32" s="324" t="s">
        <v>623</v>
      </c>
      <c r="C32" s="324" t="s">
        <v>636</v>
      </c>
      <c r="D32" s="326" t="s">
        <v>663</v>
      </c>
      <c r="E32" s="965" t="str">
        <f t="shared" si="1"/>
        <v>SteelPipe126-inch</v>
      </c>
      <c r="F32" s="299">
        <v>218</v>
      </c>
      <c r="G32" s="299">
        <v>206</v>
      </c>
      <c r="H32" s="299"/>
      <c r="I32" s="300">
        <v>10</v>
      </c>
      <c r="J32" s="301" t="s">
        <v>618</v>
      </c>
      <c r="K32" s="436" t="s">
        <v>605</v>
      </c>
      <c r="L32" s="340" t="s">
        <v>664</v>
      </c>
    </row>
    <row r="33" spans="2:12" ht="27.6" x14ac:dyDescent="0.3">
      <c r="B33" s="324" t="s">
        <v>623</v>
      </c>
      <c r="C33" s="324" t="s">
        <v>665</v>
      </c>
      <c r="D33" s="965" t="s">
        <v>666</v>
      </c>
      <c r="E33" s="965" t="str">
        <f t="shared" si="1"/>
        <v>SteelSheetNoSize</v>
      </c>
      <c r="F33" s="973">
        <v>211</v>
      </c>
      <c r="G33" s="973">
        <v>192</v>
      </c>
      <c r="H33" s="973">
        <v>179</v>
      </c>
      <c r="I33" s="283">
        <v>10</v>
      </c>
      <c r="J33" s="284" t="s">
        <v>615</v>
      </c>
      <c r="K33" s="970" t="s">
        <v>609</v>
      </c>
      <c r="L33" s="336"/>
    </row>
    <row r="34" spans="2:12" ht="27.6" x14ac:dyDescent="0.3">
      <c r="B34" s="324" t="s">
        <v>667</v>
      </c>
      <c r="C34" s="324" t="s">
        <v>668</v>
      </c>
      <c r="D34" s="965" t="s">
        <v>640</v>
      </c>
      <c r="E34" s="965" t="str">
        <f t="shared" si="1"/>
        <v>WoodUnspecifiedWood12-inch</v>
      </c>
      <c r="F34" s="973">
        <v>180</v>
      </c>
      <c r="G34" s="973">
        <v>170</v>
      </c>
      <c r="H34" s="973">
        <v>160</v>
      </c>
      <c r="I34" s="283">
        <v>10</v>
      </c>
      <c r="J34" s="284" t="s">
        <v>669</v>
      </c>
      <c r="K34" s="970" t="s">
        <v>609</v>
      </c>
      <c r="L34" s="336"/>
    </row>
  </sheetData>
  <mergeCells count="1">
    <mergeCell ref="B1:L1"/>
  </mergeCells>
  <pageMargins left="0.25" right="0.25" top="0.75" bottom="0.75" header="0.3" footer="0.3"/>
  <pageSetup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5">
    <tabColor theme="2" tint="-0.749992370372631"/>
  </sheetPr>
  <dimension ref="A1:Q18"/>
  <sheetViews>
    <sheetView tabSelected="1" workbookViewId="0">
      <selection activeCell="I8" sqref="I8"/>
    </sheetView>
  </sheetViews>
  <sheetFormatPr defaultColWidth="9.21875" defaultRowHeight="13.8" x14ac:dyDescent="0.3"/>
  <cols>
    <col min="1" max="1" width="9.21875" style="277"/>
    <col min="2" max="2" width="1.44140625" style="277" customWidth="1"/>
    <col min="3" max="3" width="16.21875" style="277" customWidth="1"/>
    <col min="4" max="4" width="14.77734375" style="277" bestFit="1" customWidth="1"/>
    <col min="5" max="5" width="12" style="277" bestFit="1" customWidth="1"/>
    <col min="6" max="6" width="16.21875" style="277" bestFit="1" customWidth="1"/>
    <col min="7" max="7" width="1.44140625" style="321" customWidth="1"/>
    <col min="8" max="12" width="12.5546875" style="277" customWidth="1"/>
    <col min="13" max="13" width="14.77734375" style="277" customWidth="1"/>
    <col min="14" max="16" width="9.21875" style="277"/>
    <col min="17" max="17" width="16.21875" style="277" bestFit="1" customWidth="1"/>
    <col min="18" max="16384" width="9.21875" style="277"/>
  </cols>
  <sheetData>
    <row r="1" spans="1:17" x14ac:dyDescent="0.3">
      <c r="A1" s="305" t="s">
        <v>670</v>
      </c>
      <c r="B1" s="320"/>
      <c r="C1" s="309" t="s">
        <v>671</v>
      </c>
      <c r="D1" s="309" t="s">
        <v>672</v>
      </c>
      <c r="E1" s="309" t="s">
        <v>673</v>
      </c>
      <c r="F1" s="304" t="s">
        <v>674</v>
      </c>
      <c r="G1" s="322"/>
      <c r="H1" s="1582" t="s">
        <v>675</v>
      </c>
      <c r="I1" s="1583"/>
      <c r="J1" s="1583"/>
      <c r="K1" s="1583"/>
      <c r="L1" s="1584"/>
      <c r="M1" s="309" t="s">
        <v>676</v>
      </c>
      <c r="N1" s="1582" t="s">
        <v>677</v>
      </c>
      <c r="O1" s="1583"/>
      <c r="P1" s="1584"/>
      <c r="Q1" s="303" t="s">
        <v>678</v>
      </c>
    </row>
    <row r="2" spans="1:17" ht="27.6" x14ac:dyDescent="0.3">
      <c r="A2" s="880" t="s">
        <v>601</v>
      </c>
      <c r="B2" s="321"/>
      <c r="C2" s="311" t="s">
        <v>602</v>
      </c>
      <c r="D2" s="319" t="s">
        <v>620</v>
      </c>
      <c r="E2" s="311" t="s">
        <v>624</v>
      </c>
      <c r="F2" s="317" t="s">
        <v>668</v>
      </c>
      <c r="H2" s="330" t="s">
        <v>602</v>
      </c>
      <c r="I2" s="306" t="s">
        <v>607</v>
      </c>
      <c r="J2" s="306" t="s">
        <v>611</v>
      </c>
      <c r="K2" s="306" t="s">
        <v>613</v>
      </c>
      <c r="L2" s="331" t="s">
        <v>617</v>
      </c>
      <c r="M2" s="310" t="s">
        <v>620</v>
      </c>
      <c r="N2" s="312" t="s">
        <v>624</v>
      </c>
      <c r="O2" s="313" t="s">
        <v>636</v>
      </c>
      <c r="P2" s="314" t="s">
        <v>665</v>
      </c>
      <c r="Q2" s="323" t="s">
        <v>668</v>
      </c>
    </row>
    <row r="3" spans="1:17" x14ac:dyDescent="0.3">
      <c r="A3" s="880" t="s">
        <v>619</v>
      </c>
      <c r="B3" s="321"/>
      <c r="C3" s="311" t="s">
        <v>607</v>
      </c>
      <c r="D3" s="311"/>
      <c r="E3" s="311" t="s">
        <v>636</v>
      </c>
      <c r="F3" s="308"/>
      <c r="H3" s="308" t="s">
        <v>603</v>
      </c>
      <c r="I3" s="942" t="s">
        <v>608</v>
      </c>
      <c r="J3" s="942" t="s">
        <v>608</v>
      </c>
      <c r="K3" s="942" t="s">
        <v>679</v>
      </c>
      <c r="L3" s="307" t="s">
        <v>608</v>
      </c>
      <c r="M3" s="311" t="s">
        <v>621</v>
      </c>
      <c r="N3" s="315" t="s">
        <v>625</v>
      </c>
      <c r="O3" s="966" t="s">
        <v>637</v>
      </c>
      <c r="P3" s="307" t="s">
        <v>666</v>
      </c>
      <c r="Q3" s="880" t="s">
        <v>640</v>
      </c>
    </row>
    <row r="4" spans="1:17" ht="27.6" x14ac:dyDescent="0.3">
      <c r="A4" s="880" t="s">
        <v>623</v>
      </c>
      <c r="B4" s="321"/>
      <c r="C4" s="311" t="s">
        <v>611</v>
      </c>
      <c r="D4" s="311"/>
      <c r="E4" s="311" t="s">
        <v>665</v>
      </c>
      <c r="F4" s="308"/>
      <c r="H4" s="308"/>
      <c r="I4" s="942"/>
      <c r="J4" s="942"/>
      <c r="K4" s="942"/>
      <c r="L4" s="307"/>
      <c r="M4" s="311"/>
      <c r="N4" s="315" t="s">
        <v>627</v>
      </c>
      <c r="O4" s="966" t="s">
        <v>640</v>
      </c>
      <c r="P4" s="307"/>
      <c r="Q4" s="880"/>
    </row>
    <row r="5" spans="1:17" ht="27.6" x14ac:dyDescent="0.3">
      <c r="A5" s="880" t="s">
        <v>667</v>
      </c>
      <c r="B5" s="321"/>
      <c r="C5" s="318" t="s">
        <v>613</v>
      </c>
      <c r="D5" s="318"/>
      <c r="E5" s="318"/>
      <c r="F5" s="308"/>
      <c r="H5" s="308"/>
      <c r="I5" s="942"/>
      <c r="J5" s="942"/>
      <c r="K5" s="942"/>
      <c r="L5" s="307"/>
      <c r="M5" s="311"/>
      <c r="N5" s="315" t="s">
        <v>629</v>
      </c>
      <c r="O5" s="966" t="s">
        <v>621</v>
      </c>
      <c r="P5" s="307"/>
      <c r="Q5" s="880"/>
    </row>
    <row r="6" spans="1:17" ht="27.6" x14ac:dyDescent="0.3">
      <c r="A6" s="880"/>
      <c r="B6" s="321"/>
      <c r="C6" s="319" t="s">
        <v>617</v>
      </c>
      <c r="D6" s="311"/>
      <c r="E6" s="311"/>
      <c r="F6" s="308"/>
      <c r="H6" s="308"/>
      <c r="I6" s="942"/>
      <c r="J6" s="942"/>
      <c r="K6" s="942"/>
      <c r="L6" s="307"/>
      <c r="M6" s="311"/>
      <c r="N6" s="315" t="s">
        <v>630</v>
      </c>
      <c r="O6" s="966" t="s">
        <v>631</v>
      </c>
      <c r="P6" s="307"/>
      <c r="Q6" s="880"/>
    </row>
    <row r="7" spans="1:17" x14ac:dyDescent="0.3">
      <c r="A7" s="880"/>
      <c r="B7" s="321"/>
      <c r="C7" s="311"/>
      <c r="D7" s="311"/>
      <c r="E7" s="311"/>
      <c r="F7" s="308"/>
      <c r="H7" s="308"/>
      <c r="I7" s="942"/>
      <c r="J7" s="942"/>
      <c r="K7" s="942"/>
      <c r="L7" s="307"/>
      <c r="M7" s="311"/>
      <c r="N7" s="315" t="s">
        <v>631</v>
      </c>
      <c r="O7" s="316" t="s">
        <v>643</v>
      </c>
      <c r="P7" s="307"/>
      <c r="Q7" s="880"/>
    </row>
    <row r="8" spans="1:17" ht="27.6" x14ac:dyDescent="0.3">
      <c r="A8" s="880"/>
      <c r="B8" s="321"/>
      <c r="C8" s="311"/>
      <c r="D8" s="311"/>
      <c r="E8" s="311"/>
      <c r="F8" s="308"/>
      <c r="H8" s="308"/>
      <c r="I8" s="942"/>
      <c r="J8" s="942"/>
      <c r="K8" s="942"/>
      <c r="L8" s="307"/>
      <c r="M8" s="311"/>
      <c r="N8" s="315" t="s">
        <v>632</v>
      </c>
      <c r="O8" s="316" t="s">
        <v>646</v>
      </c>
      <c r="P8" s="307"/>
      <c r="Q8" s="880"/>
    </row>
    <row r="9" spans="1:17" ht="41.4" x14ac:dyDescent="0.3">
      <c r="A9" s="880"/>
      <c r="B9" s="321"/>
      <c r="C9" s="311"/>
      <c r="D9" s="311"/>
      <c r="E9" s="311"/>
      <c r="F9" s="308"/>
      <c r="H9" s="308"/>
      <c r="I9" s="942"/>
      <c r="J9" s="942"/>
      <c r="K9" s="942"/>
      <c r="L9" s="307"/>
      <c r="M9" s="311"/>
      <c r="N9" s="315" t="s">
        <v>633</v>
      </c>
      <c r="O9" s="316" t="s">
        <v>608</v>
      </c>
      <c r="P9" s="307"/>
      <c r="Q9" s="880"/>
    </row>
    <row r="10" spans="1:17" ht="27.6" x14ac:dyDescent="0.3">
      <c r="A10" s="880"/>
      <c r="B10" s="321"/>
      <c r="C10" s="311"/>
      <c r="D10" s="311"/>
      <c r="E10" s="311"/>
      <c r="F10" s="308"/>
      <c r="H10" s="308"/>
      <c r="I10" s="942"/>
      <c r="J10" s="942"/>
      <c r="K10" s="942"/>
      <c r="L10" s="307"/>
      <c r="M10" s="311"/>
      <c r="N10" s="315" t="s">
        <v>635</v>
      </c>
      <c r="O10" s="757" t="s">
        <v>650</v>
      </c>
      <c r="P10" s="307"/>
      <c r="Q10" s="880"/>
    </row>
    <row r="11" spans="1:17" x14ac:dyDescent="0.3">
      <c r="A11" s="880"/>
      <c r="B11" s="321"/>
      <c r="C11" s="311"/>
      <c r="D11" s="311"/>
      <c r="E11" s="311"/>
      <c r="F11" s="308"/>
      <c r="H11" s="308"/>
      <c r="I11" s="942"/>
      <c r="J11" s="942"/>
      <c r="K11" s="942"/>
      <c r="L11" s="307"/>
      <c r="M11" s="311"/>
      <c r="N11" s="308"/>
      <c r="O11" s="757" t="s">
        <v>603</v>
      </c>
      <c r="P11" s="307"/>
      <c r="Q11" s="880"/>
    </row>
    <row r="12" spans="1:17" x14ac:dyDescent="0.3">
      <c r="A12" s="880"/>
      <c r="B12" s="321"/>
      <c r="C12" s="311"/>
      <c r="D12" s="311"/>
      <c r="E12" s="311"/>
      <c r="F12" s="308"/>
      <c r="H12" s="308"/>
      <c r="I12" s="942"/>
      <c r="J12" s="942"/>
      <c r="K12" s="942"/>
      <c r="L12" s="307"/>
      <c r="M12" s="311"/>
      <c r="N12" s="308"/>
      <c r="O12" s="757" t="s">
        <v>653</v>
      </c>
      <c r="P12" s="307"/>
      <c r="Q12" s="880"/>
    </row>
    <row r="13" spans="1:17" x14ac:dyDescent="0.3">
      <c r="A13" s="880"/>
      <c r="B13" s="321"/>
      <c r="C13" s="311"/>
      <c r="D13" s="311"/>
      <c r="E13" s="311"/>
      <c r="F13" s="308"/>
      <c r="H13" s="308"/>
      <c r="I13" s="942"/>
      <c r="J13" s="942"/>
      <c r="K13" s="942"/>
      <c r="L13" s="307"/>
      <c r="M13" s="311"/>
      <c r="N13" s="308"/>
      <c r="O13" s="757" t="s">
        <v>655</v>
      </c>
      <c r="P13" s="307"/>
      <c r="Q13" s="880"/>
    </row>
    <row r="14" spans="1:17" ht="27.6" x14ac:dyDescent="0.3">
      <c r="A14" s="880"/>
      <c r="B14" s="321"/>
      <c r="C14" s="311"/>
      <c r="D14" s="311"/>
      <c r="E14" s="311"/>
      <c r="F14" s="308"/>
      <c r="H14" s="308"/>
      <c r="I14" s="942"/>
      <c r="J14" s="942"/>
      <c r="K14" s="942"/>
      <c r="L14" s="307"/>
      <c r="M14" s="311"/>
      <c r="N14" s="308"/>
      <c r="O14" s="757" t="s">
        <v>657</v>
      </c>
      <c r="P14" s="307"/>
      <c r="Q14" s="880"/>
    </row>
    <row r="15" spans="1:17" x14ac:dyDescent="0.3">
      <c r="A15" s="880"/>
      <c r="B15" s="321"/>
      <c r="C15" s="311"/>
      <c r="D15" s="311"/>
      <c r="E15" s="311"/>
      <c r="F15" s="308"/>
      <c r="H15" s="308"/>
      <c r="I15" s="942"/>
      <c r="J15" s="942"/>
      <c r="K15" s="942"/>
      <c r="L15" s="307"/>
      <c r="M15" s="311"/>
      <c r="N15" s="308"/>
      <c r="O15" s="757" t="s">
        <v>658</v>
      </c>
      <c r="P15" s="307"/>
      <c r="Q15" s="880"/>
    </row>
    <row r="16" spans="1:17" x14ac:dyDescent="0.3">
      <c r="A16" s="880"/>
      <c r="B16" s="321"/>
      <c r="C16" s="311"/>
      <c r="D16" s="311"/>
      <c r="E16" s="311"/>
      <c r="F16" s="308"/>
      <c r="H16" s="308"/>
      <c r="I16" s="942"/>
      <c r="J16" s="942"/>
      <c r="K16" s="942"/>
      <c r="L16" s="307"/>
      <c r="M16" s="311"/>
      <c r="N16" s="308"/>
      <c r="O16" s="757" t="s">
        <v>660</v>
      </c>
      <c r="P16" s="307"/>
      <c r="Q16" s="880"/>
    </row>
    <row r="17" spans="2:16" ht="27.6" x14ac:dyDescent="0.3">
      <c r="B17" s="321"/>
      <c r="C17" s="311"/>
      <c r="D17" s="311"/>
      <c r="E17" s="311"/>
      <c r="F17" s="308"/>
      <c r="H17" s="308"/>
      <c r="I17" s="942"/>
      <c r="J17" s="942"/>
      <c r="K17" s="942"/>
      <c r="L17" s="307"/>
      <c r="M17" s="311"/>
      <c r="N17" s="308"/>
      <c r="O17" s="757" t="s">
        <v>662</v>
      </c>
      <c r="P17" s="307"/>
    </row>
    <row r="18" spans="2:16" x14ac:dyDescent="0.3">
      <c r="B18" s="321"/>
      <c r="C18" s="311"/>
      <c r="D18" s="311"/>
      <c r="E18" s="311"/>
      <c r="F18" s="308"/>
      <c r="H18" s="308"/>
      <c r="I18" s="942"/>
      <c r="J18" s="942"/>
      <c r="K18" s="942"/>
      <c r="L18" s="307"/>
      <c r="M18" s="311"/>
      <c r="N18" s="308"/>
      <c r="O18" s="757" t="s">
        <v>663</v>
      </c>
      <c r="P18" s="307"/>
    </row>
  </sheetData>
  <sheetProtection password="C654" sheet="1" objects="1" scenarios="1"/>
  <mergeCells count="2">
    <mergeCell ref="H1:L1"/>
    <mergeCell ref="N1:P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KW33"/>
  <sheetViews>
    <sheetView zoomScale="80" zoomScaleNormal="80" workbookViewId="0">
      <selection activeCell="S14" sqref="S14"/>
    </sheetView>
  </sheetViews>
  <sheetFormatPr defaultColWidth="9.21875" defaultRowHeight="13.8" x14ac:dyDescent="0.3"/>
  <cols>
    <col min="1" max="2" width="24.77734375" style="277" customWidth="1"/>
    <col min="3" max="4" width="9.21875" style="277" customWidth="1"/>
    <col min="5" max="5" width="3.77734375" style="277" customWidth="1"/>
    <col min="6" max="6" width="30.21875" style="277" bestFit="1" customWidth="1"/>
    <col min="7" max="7" width="9" style="277" customWidth="1"/>
    <col min="8" max="8" width="22.21875" style="277" customWidth="1"/>
    <col min="9" max="9" width="12.77734375" style="279" customWidth="1"/>
    <col min="10" max="10" width="8.5546875" style="277" customWidth="1"/>
    <col min="11" max="11" width="1.21875" style="425" customWidth="1"/>
    <col min="12" max="13" width="9.77734375" style="277" customWidth="1"/>
    <col min="14" max="14" width="1.21875" style="277" customWidth="1"/>
    <col min="15" max="15" width="11.77734375" style="277" customWidth="1"/>
    <col min="16" max="16" width="1.21875" style="880" customWidth="1"/>
    <col min="17" max="17" width="6.5546875" style="277" customWidth="1"/>
    <col min="18" max="18" width="1.21875" style="277" customWidth="1"/>
    <col min="19" max="19" width="12.77734375" style="277" customWidth="1"/>
    <col min="20" max="20" width="15.5546875" style="277" customWidth="1"/>
    <col min="21" max="21" width="19.21875" style="277" customWidth="1"/>
    <col min="22" max="23" width="12.21875" style="277" customWidth="1"/>
    <col min="24" max="16384" width="9.21875" style="277"/>
  </cols>
  <sheetData>
    <row r="1" spans="1:985" s="751" customFormat="1" ht="22.8" x14ac:dyDescent="0.3">
      <c r="A1" s="1076" t="s">
        <v>45</v>
      </c>
      <c r="B1" s="1076"/>
      <c r="C1" s="1076"/>
      <c r="D1" s="1076"/>
      <c r="E1" s="1076"/>
      <c r="F1" s="1076"/>
      <c r="G1" s="1076"/>
      <c r="H1" s="1076"/>
      <c r="I1" s="1076"/>
      <c r="J1" s="1076"/>
      <c r="K1" s="1076"/>
      <c r="L1" s="1076"/>
      <c r="M1" s="1076"/>
      <c r="N1" s="1076"/>
      <c r="O1" s="1076"/>
      <c r="P1" s="1076"/>
      <c r="Q1" s="1076"/>
      <c r="R1" s="1076"/>
      <c r="S1" s="1076"/>
      <c r="T1" s="1076"/>
      <c r="U1" s="1076"/>
      <c r="V1" s="1076"/>
      <c r="W1" s="1076"/>
    </row>
    <row r="2" spans="1:985" s="343" customFormat="1" ht="45" customHeight="1" x14ac:dyDescent="0.3">
      <c r="A2" s="1059" t="s">
        <v>46</v>
      </c>
      <c r="B2" s="1059"/>
      <c r="C2" s="1059"/>
      <c r="D2" s="1059"/>
      <c r="E2" s="1059"/>
      <c r="F2" s="1059"/>
      <c r="G2" s="1059"/>
      <c r="H2" s="1059"/>
      <c r="I2" s="1059"/>
      <c r="J2" s="1059"/>
      <c r="K2" s="1059"/>
      <c r="L2" s="1059"/>
      <c r="M2" s="1059"/>
      <c r="N2" s="1059"/>
      <c r="O2" s="1059"/>
      <c r="P2" s="1059"/>
      <c r="Q2" s="1059"/>
      <c r="R2" s="1059"/>
      <c r="S2" s="891"/>
      <c r="T2" s="891"/>
      <c r="U2" s="891"/>
      <c r="V2" s="891"/>
      <c r="W2" s="891"/>
    </row>
    <row r="3" spans="1:985" s="344" customFormat="1" ht="17.25" customHeight="1" x14ac:dyDescent="0.3">
      <c r="A3" s="1077"/>
      <c r="B3" s="1077"/>
      <c r="C3" s="1077"/>
      <c r="D3" s="1077"/>
      <c r="E3" s="1077"/>
      <c r="F3" s="1077"/>
      <c r="G3" s="1077"/>
      <c r="H3" s="1077"/>
      <c r="I3" s="1078"/>
      <c r="J3" s="1078"/>
      <c r="K3" s="1077"/>
      <c r="L3" s="1077"/>
      <c r="M3" s="1077"/>
      <c r="N3" s="1077"/>
      <c r="O3" s="1077"/>
      <c r="P3" s="1077"/>
      <c r="Q3" s="1077"/>
      <c r="R3" s="1077"/>
      <c r="S3" s="290"/>
      <c r="T3" s="346"/>
      <c r="U3" s="862" t="s">
        <v>47</v>
      </c>
      <c r="V3" s="863">
        <f>'Pile Driving Instructions'!$F$37</f>
        <v>45000</v>
      </c>
      <c r="W3" s="864" t="str">
        <f>'Pile Driving Instructions'!$G$37</f>
        <v>LZC</v>
      </c>
      <c r="X3" s="289"/>
      <c r="Y3" s="289"/>
      <c r="Z3" s="289"/>
      <c r="AA3" s="289"/>
      <c r="AB3" s="289"/>
      <c r="AC3" s="289"/>
      <c r="AD3" s="289"/>
      <c r="AE3" s="289"/>
      <c r="AF3" s="289"/>
      <c r="AG3" s="289"/>
      <c r="AH3" s="289"/>
      <c r="AI3" s="289"/>
      <c r="AJ3" s="289"/>
      <c r="AK3" s="289"/>
      <c r="AL3" s="289"/>
      <c r="AM3" s="289"/>
      <c r="AN3" s="289"/>
      <c r="AO3" s="289"/>
      <c r="AP3" s="289"/>
      <c r="AQ3" s="289"/>
      <c r="AR3" s="289"/>
      <c r="AS3" s="289"/>
      <c r="AT3" s="289"/>
      <c r="AU3" s="289"/>
      <c r="AV3" s="289"/>
      <c r="AW3" s="289"/>
      <c r="AX3" s="289"/>
      <c r="AY3" s="289"/>
      <c r="AZ3" s="289"/>
      <c r="BA3" s="289"/>
      <c r="BB3" s="289"/>
      <c r="BC3" s="289"/>
      <c r="BD3" s="289"/>
      <c r="BE3" s="289"/>
      <c r="BF3" s="289"/>
      <c r="BG3" s="289"/>
      <c r="BH3" s="289"/>
      <c r="BI3" s="289"/>
      <c r="BJ3" s="289"/>
      <c r="BK3" s="289"/>
      <c r="BL3" s="289"/>
      <c r="BM3" s="289"/>
      <c r="BN3" s="289"/>
      <c r="BO3" s="289"/>
      <c r="BP3" s="289"/>
      <c r="BQ3" s="289"/>
      <c r="BR3" s="289"/>
      <c r="BS3" s="289"/>
      <c r="BT3" s="289"/>
      <c r="BU3" s="289"/>
      <c r="BV3" s="289"/>
      <c r="BW3" s="289"/>
      <c r="BX3" s="289"/>
      <c r="BY3" s="289"/>
      <c r="BZ3" s="289"/>
      <c r="CA3" s="289"/>
      <c r="CB3" s="289"/>
      <c r="CC3" s="289"/>
      <c r="CD3" s="289"/>
      <c r="CE3" s="289"/>
      <c r="CF3" s="289"/>
      <c r="CG3" s="289"/>
      <c r="CH3" s="289"/>
      <c r="CI3" s="289"/>
      <c r="CJ3" s="289"/>
      <c r="CK3" s="289"/>
      <c r="CL3" s="289"/>
      <c r="CM3" s="289"/>
      <c r="CN3" s="289"/>
      <c r="CO3" s="289"/>
      <c r="CP3" s="289"/>
      <c r="CQ3" s="289"/>
      <c r="CR3" s="289"/>
      <c r="CS3" s="289"/>
      <c r="CT3" s="289"/>
      <c r="CU3" s="289"/>
      <c r="CV3" s="289"/>
      <c r="CW3" s="289"/>
      <c r="CX3" s="289"/>
      <c r="CY3" s="289"/>
      <c r="CZ3" s="289"/>
      <c r="DA3" s="289"/>
      <c r="DB3" s="289"/>
      <c r="DC3" s="289"/>
      <c r="DD3" s="289"/>
      <c r="DE3" s="289"/>
      <c r="DF3" s="289"/>
      <c r="DG3" s="289"/>
      <c r="DH3" s="289"/>
      <c r="DI3" s="289"/>
      <c r="DJ3" s="289"/>
      <c r="DK3" s="289"/>
      <c r="DL3" s="289"/>
      <c r="DM3" s="289"/>
      <c r="DN3" s="289"/>
      <c r="DO3" s="289"/>
      <c r="DP3" s="289"/>
      <c r="DQ3" s="289"/>
      <c r="DR3" s="289"/>
      <c r="DS3" s="289"/>
      <c r="DT3" s="289"/>
      <c r="DU3" s="289"/>
      <c r="DV3" s="289"/>
      <c r="DW3" s="289"/>
      <c r="DX3" s="289"/>
      <c r="DY3" s="289"/>
      <c r="DZ3" s="289"/>
      <c r="EA3" s="289"/>
      <c r="EB3" s="289"/>
      <c r="EC3" s="289"/>
      <c r="ED3" s="289"/>
      <c r="EE3" s="289"/>
      <c r="EF3" s="289"/>
      <c r="EG3" s="289"/>
      <c r="EH3" s="289"/>
      <c r="EI3" s="289"/>
      <c r="EJ3" s="289"/>
      <c r="EK3" s="289"/>
      <c r="EL3" s="289"/>
      <c r="EM3" s="289"/>
      <c r="EN3" s="289"/>
      <c r="EO3" s="289"/>
      <c r="EP3" s="289"/>
      <c r="EQ3" s="289"/>
      <c r="ER3" s="289"/>
      <c r="ES3" s="289"/>
      <c r="ET3" s="289"/>
      <c r="EU3" s="289"/>
      <c r="EV3" s="289"/>
      <c r="EW3" s="289"/>
      <c r="EX3" s="289"/>
      <c r="EY3" s="289"/>
      <c r="EZ3" s="289"/>
      <c r="FA3" s="289"/>
      <c r="FB3" s="289"/>
      <c r="FC3" s="289"/>
      <c r="FD3" s="289"/>
      <c r="FE3" s="289"/>
      <c r="FF3" s="289"/>
      <c r="FG3" s="289"/>
      <c r="FH3" s="289"/>
      <c r="FI3" s="289"/>
      <c r="FJ3" s="289"/>
      <c r="FK3" s="289"/>
      <c r="FL3" s="289"/>
      <c r="FM3" s="289"/>
      <c r="FN3" s="289"/>
      <c r="FO3" s="289"/>
      <c r="FP3" s="289"/>
      <c r="FQ3" s="289"/>
      <c r="FR3" s="289"/>
      <c r="FS3" s="289"/>
      <c r="FT3" s="289"/>
      <c r="FU3" s="289"/>
      <c r="FV3" s="289"/>
      <c r="FW3" s="289"/>
      <c r="FX3" s="289"/>
      <c r="FY3" s="289"/>
      <c r="FZ3" s="289"/>
      <c r="GA3" s="289"/>
      <c r="GB3" s="289"/>
      <c r="GC3" s="289"/>
      <c r="GD3" s="289"/>
      <c r="GE3" s="289"/>
      <c r="GF3" s="289"/>
      <c r="GG3" s="289"/>
      <c r="GH3" s="289"/>
      <c r="GI3" s="289"/>
      <c r="GJ3" s="289"/>
      <c r="GK3" s="289"/>
      <c r="GL3" s="289"/>
      <c r="GM3" s="289"/>
      <c r="GN3" s="289"/>
      <c r="GO3" s="289"/>
      <c r="GP3" s="289"/>
      <c r="GQ3" s="289"/>
      <c r="GR3" s="289"/>
      <c r="GS3" s="289"/>
      <c r="GT3" s="289"/>
      <c r="GU3" s="289"/>
      <c r="GV3" s="289"/>
      <c r="GW3" s="289"/>
      <c r="GX3" s="289"/>
      <c r="GY3" s="289"/>
      <c r="GZ3" s="289"/>
      <c r="HA3" s="289"/>
      <c r="HB3" s="289"/>
      <c r="HC3" s="289"/>
      <c r="HD3" s="289"/>
      <c r="HE3" s="289"/>
      <c r="HF3" s="289"/>
      <c r="HG3" s="289"/>
      <c r="HH3" s="289"/>
      <c r="HI3" s="289"/>
      <c r="HJ3" s="289"/>
      <c r="HK3" s="289"/>
      <c r="HL3" s="289"/>
      <c r="HM3" s="289"/>
      <c r="HN3" s="289"/>
      <c r="HO3" s="289"/>
      <c r="HP3" s="289"/>
      <c r="HQ3" s="289"/>
      <c r="HR3" s="289"/>
      <c r="HS3" s="289"/>
      <c r="HT3" s="289"/>
      <c r="HU3" s="289"/>
      <c r="HV3" s="289"/>
      <c r="HW3" s="289"/>
      <c r="HX3" s="289"/>
      <c r="HY3" s="289"/>
      <c r="HZ3" s="289"/>
      <c r="IA3" s="289"/>
      <c r="IB3" s="289"/>
      <c r="IC3" s="289"/>
      <c r="ID3" s="289"/>
      <c r="IE3" s="289"/>
      <c r="IF3" s="289"/>
      <c r="IG3" s="289"/>
      <c r="IH3" s="289"/>
      <c r="II3" s="289"/>
      <c r="IJ3" s="289"/>
      <c r="IK3" s="289"/>
      <c r="IL3" s="289"/>
      <c r="IM3" s="289"/>
      <c r="IN3" s="289"/>
      <c r="IO3" s="289"/>
      <c r="IP3" s="289"/>
      <c r="IQ3" s="289"/>
      <c r="IR3" s="289"/>
      <c r="IS3" s="289"/>
      <c r="IT3" s="289"/>
      <c r="IU3" s="289"/>
      <c r="IV3" s="289"/>
      <c r="IW3" s="289"/>
      <c r="IX3" s="289"/>
      <c r="IY3" s="289"/>
      <c r="IZ3" s="289"/>
      <c r="JA3" s="289"/>
      <c r="JB3" s="289"/>
      <c r="JC3" s="289"/>
      <c r="JD3" s="289"/>
      <c r="JE3" s="289"/>
      <c r="JF3" s="289"/>
      <c r="JG3" s="289"/>
      <c r="JH3" s="289"/>
      <c r="JI3" s="289"/>
      <c r="JJ3" s="289"/>
      <c r="JK3" s="289"/>
      <c r="JL3" s="289"/>
      <c r="JM3" s="289"/>
      <c r="JN3" s="289"/>
      <c r="JO3" s="289"/>
      <c r="JP3" s="289"/>
      <c r="JQ3" s="289"/>
      <c r="JR3" s="289"/>
      <c r="JS3" s="289"/>
      <c r="JT3" s="289"/>
      <c r="JU3" s="289"/>
      <c r="JV3" s="289"/>
      <c r="JW3" s="289"/>
      <c r="JX3" s="289"/>
      <c r="JY3" s="289"/>
      <c r="JZ3" s="289"/>
      <c r="KA3" s="289"/>
      <c r="KB3" s="289"/>
      <c r="KC3" s="289"/>
      <c r="KD3" s="289"/>
      <c r="KE3" s="289"/>
      <c r="KF3" s="289"/>
      <c r="KG3" s="289"/>
      <c r="KH3" s="289"/>
      <c r="KI3" s="289"/>
      <c r="KJ3" s="289"/>
      <c r="KK3" s="289"/>
      <c r="KL3" s="289"/>
      <c r="KM3" s="289"/>
      <c r="KN3" s="289"/>
      <c r="KO3" s="289"/>
      <c r="KP3" s="289"/>
      <c r="KQ3" s="289"/>
      <c r="KR3" s="289"/>
      <c r="KS3" s="289"/>
      <c r="KT3" s="289"/>
      <c r="KU3" s="289"/>
      <c r="KV3" s="289"/>
      <c r="KW3" s="289"/>
      <c r="KX3" s="289"/>
      <c r="KY3" s="289"/>
      <c r="KZ3" s="289"/>
      <c r="LA3" s="289"/>
      <c r="LB3" s="289"/>
      <c r="LC3" s="289"/>
      <c r="LD3" s="289"/>
      <c r="LE3" s="289"/>
      <c r="LF3" s="289"/>
      <c r="LG3" s="289"/>
      <c r="LH3" s="289"/>
      <c r="LI3" s="289"/>
      <c r="LJ3" s="289"/>
      <c r="LK3" s="289"/>
      <c r="LL3" s="289"/>
      <c r="LM3" s="289"/>
      <c r="LN3" s="289"/>
      <c r="LO3" s="289"/>
      <c r="LP3" s="289"/>
      <c r="LQ3" s="289"/>
      <c r="LR3" s="289"/>
      <c r="LS3" s="289"/>
      <c r="LT3" s="289"/>
      <c r="LU3" s="289"/>
      <c r="LV3" s="289"/>
      <c r="LW3" s="289"/>
      <c r="LX3" s="289"/>
      <c r="LY3" s="289"/>
      <c r="LZ3" s="289"/>
      <c r="MA3" s="289"/>
      <c r="MB3" s="289"/>
      <c r="MC3" s="289"/>
      <c r="MD3" s="289"/>
      <c r="ME3" s="289"/>
      <c r="MF3" s="289"/>
      <c r="MG3" s="289"/>
      <c r="MH3" s="289"/>
      <c r="MI3" s="289"/>
      <c r="MJ3" s="289"/>
      <c r="MK3" s="289"/>
      <c r="ML3" s="289"/>
      <c r="MM3" s="289"/>
      <c r="MN3" s="289"/>
      <c r="MO3" s="289"/>
      <c r="MP3" s="289"/>
      <c r="MQ3" s="289"/>
      <c r="MR3" s="289"/>
      <c r="MS3" s="289"/>
      <c r="MT3" s="289"/>
      <c r="MU3" s="289"/>
      <c r="MV3" s="289"/>
      <c r="MW3" s="289"/>
      <c r="MX3" s="289"/>
      <c r="MY3" s="289"/>
      <c r="MZ3" s="289"/>
      <c r="NA3" s="289"/>
      <c r="NB3" s="289"/>
      <c r="NC3" s="289"/>
      <c r="ND3" s="289"/>
      <c r="NE3" s="289"/>
      <c r="NF3" s="289"/>
      <c r="NG3" s="289"/>
      <c r="NH3" s="289"/>
      <c r="NI3" s="289"/>
      <c r="NJ3" s="289"/>
      <c r="NK3" s="289"/>
      <c r="NL3" s="289"/>
      <c r="NM3" s="289"/>
      <c r="NN3" s="289"/>
      <c r="NO3" s="289"/>
      <c r="NP3" s="289"/>
      <c r="NQ3" s="289"/>
      <c r="NR3" s="289"/>
      <c r="NS3" s="289"/>
      <c r="NT3" s="289"/>
      <c r="NU3" s="289"/>
      <c r="NV3" s="289"/>
      <c r="NW3" s="289"/>
      <c r="NX3" s="289"/>
      <c r="NY3" s="289"/>
      <c r="NZ3" s="289"/>
      <c r="OA3" s="289"/>
      <c r="OB3" s="289"/>
      <c r="OC3" s="289"/>
      <c r="OD3" s="289"/>
      <c r="OE3" s="289"/>
      <c r="OF3" s="289"/>
      <c r="OG3" s="289"/>
      <c r="OH3" s="289"/>
      <c r="OI3" s="289"/>
      <c r="OJ3" s="289"/>
      <c r="OK3" s="289"/>
      <c r="OL3" s="289"/>
      <c r="OM3" s="289"/>
      <c r="ON3" s="289"/>
      <c r="OO3" s="289"/>
      <c r="OP3" s="289"/>
      <c r="OQ3" s="289"/>
      <c r="OR3" s="289"/>
      <c r="OS3" s="289"/>
      <c r="OT3" s="289"/>
      <c r="OU3" s="289"/>
      <c r="OV3" s="289"/>
      <c r="OW3" s="289"/>
      <c r="OX3" s="289"/>
      <c r="OY3" s="289"/>
      <c r="OZ3" s="289"/>
      <c r="PA3" s="289"/>
      <c r="PB3" s="289"/>
      <c r="PC3" s="289"/>
      <c r="PD3" s="289"/>
      <c r="PE3" s="289"/>
      <c r="PF3" s="289"/>
      <c r="PG3" s="289"/>
      <c r="PH3" s="289"/>
      <c r="PI3" s="289"/>
      <c r="PJ3" s="289"/>
      <c r="PK3" s="289"/>
      <c r="PL3" s="289"/>
      <c r="PM3" s="289"/>
      <c r="PN3" s="289"/>
      <c r="PO3" s="289"/>
      <c r="PP3" s="289"/>
      <c r="PQ3" s="289"/>
      <c r="PR3" s="289"/>
      <c r="PS3" s="289"/>
      <c r="PT3" s="289"/>
      <c r="PU3" s="289"/>
      <c r="PV3" s="289"/>
      <c r="PW3" s="289"/>
      <c r="PX3" s="289"/>
      <c r="PY3" s="289"/>
      <c r="PZ3" s="289"/>
      <c r="QA3" s="289"/>
      <c r="QB3" s="289"/>
      <c r="QC3" s="289"/>
      <c r="QD3" s="289"/>
      <c r="QE3" s="289"/>
      <c r="QF3" s="289"/>
      <c r="QG3" s="289"/>
      <c r="QH3" s="289"/>
      <c r="QI3" s="289"/>
      <c r="QJ3" s="289"/>
      <c r="QK3" s="289"/>
      <c r="QL3" s="289"/>
      <c r="QM3" s="289"/>
      <c r="QN3" s="289"/>
      <c r="QO3" s="289"/>
      <c r="QP3" s="289"/>
      <c r="QQ3" s="289"/>
      <c r="QR3" s="289"/>
      <c r="QS3" s="289"/>
      <c r="QT3" s="289"/>
      <c r="QU3" s="289"/>
      <c r="QV3" s="289"/>
      <c r="QW3" s="289"/>
      <c r="QX3" s="289"/>
      <c r="QY3" s="289"/>
      <c r="QZ3" s="289"/>
      <c r="RA3" s="289"/>
      <c r="RB3" s="289"/>
      <c r="RC3" s="289"/>
      <c r="RD3" s="289"/>
      <c r="RE3" s="289"/>
      <c r="RF3" s="289"/>
      <c r="RG3" s="289"/>
      <c r="RH3" s="289"/>
      <c r="RI3" s="289"/>
      <c r="RJ3" s="289"/>
      <c r="RK3" s="289"/>
      <c r="RL3" s="289"/>
      <c r="RM3" s="289"/>
      <c r="RN3" s="289"/>
      <c r="RO3" s="289"/>
      <c r="RP3" s="289"/>
      <c r="RQ3" s="289"/>
      <c r="RR3" s="289"/>
      <c r="RS3" s="289"/>
      <c r="RT3" s="289"/>
      <c r="RU3" s="289"/>
      <c r="RV3" s="289"/>
      <c r="RW3" s="289"/>
      <c r="RX3" s="289"/>
      <c r="RY3" s="289"/>
      <c r="RZ3" s="289"/>
      <c r="SA3" s="289"/>
      <c r="SB3" s="289"/>
      <c r="SC3" s="289"/>
      <c r="SD3" s="289"/>
      <c r="SE3" s="289"/>
      <c r="SF3" s="289"/>
      <c r="SG3" s="289"/>
      <c r="SH3" s="289"/>
      <c r="SI3" s="289"/>
      <c r="SJ3" s="289"/>
      <c r="SK3" s="289"/>
      <c r="SL3" s="289"/>
      <c r="SM3" s="289"/>
      <c r="SN3" s="289"/>
      <c r="SO3" s="289"/>
      <c r="SP3" s="289"/>
      <c r="SQ3" s="289"/>
      <c r="SR3" s="289"/>
      <c r="SS3" s="289"/>
      <c r="ST3" s="289"/>
      <c r="SU3" s="289"/>
      <c r="SV3" s="289"/>
      <c r="SW3" s="289"/>
      <c r="SX3" s="289"/>
      <c r="SY3" s="289"/>
      <c r="SZ3" s="289"/>
      <c r="TA3" s="289"/>
      <c r="TB3" s="289"/>
      <c r="TC3" s="289"/>
      <c r="TD3" s="289"/>
      <c r="TE3" s="289"/>
      <c r="TF3" s="289"/>
      <c r="TG3" s="289"/>
      <c r="TH3" s="289"/>
      <c r="TI3" s="289"/>
      <c r="TJ3" s="289"/>
      <c r="TK3" s="289"/>
      <c r="TL3" s="289"/>
      <c r="TM3" s="289"/>
      <c r="TN3" s="289"/>
      <c r="TO3" s="289"/>
      <c r="TP3" s="289"/>
      <c r="TQ3" s="289"/>
      <c r="TR3" s="289"/>
      <c r="TS3" s="289"/>
      <c r="TT3" s="289"/>
      <c r="TU3" s="289"/>
      <c r="TV3" s="289"/>
      <c r="TW3" s="289"/>
      <c r="TX3" s="289"/>
      <c r="TY3" s="289"/>
      <c r="TZ3" s="289"/>
      <c r="UA3" s="289"/>
      <c r="UB3" s="289"/>
      <c r="UC3" s="289"/>
      <c r="UD3" s="289"/>
      <c r="UE3" s="289"/>
      <c r="UF3" s="289"/>
      <c r="UG3" s="289"/>
      <c r="UH3" s="289"/>
      <c r="UI3" s="289"/>
      <c r="UJ3" s="289"/>
      <c r="UK3" s="289"/>
      <c r="UL3" s="289"/>
      <c r="UM3" s="289"/>
      <c r="UN3" s="289"/>
      <c r="UO3" s="289"/>
      <c r="UP3" s="289"/>
      <c r="UQ3" s="289"/>
      <c r="UR3" s="289"/>
      <c r="US3" s="289"/>
      <c r="UT3" s="289"/>
      <c r="UU3" s="289"/>
      <c r="UV3" s="289"/>
      <c r="UW3" s="289"/>
      <c r="UX3" s="289"/>
      <c r="UY3" s="289"/>
      <c r="UZ3" s="289"/>
      <c r="VA3" s="289"/>
      <c r="VB3" s="289"/>
      <c r="VC3" s="289"/>
      <c r="VD3" s="289"/>
      <c r="VE3" s="289"/>
      <c r="VF3" s="289"/>
      <c r="VG3" s="289"/>
      <c r="VH3" s="289"/>
      <c r="VI3" s="289"/>
      <c r="VJ3" s="289"/>
      <c r="VK3" s="289"/>
      <c r="VL3" s="289"/>
      <c r="VM3" s="289"/>
      <c r="VN3" s="289"/>
      <c r="VO3" s="289"/>
      <c r="VP3" s="289"/>
      <c r="VQ3" s="289"/>
      <c r="VR3" s="289"/>
      <c r="VS3" s="289"/>
      <c r="VT3" s="289"/>
      <c r="VU3" s="289"/>
      <c r="VV3" s="289"/>
      <c r="VW3" s="289"/>
      <c r="VX3" s="289"/>
      <c r="VY3" s="289"/>
      <c r="VZ3" s="289"/>
      <c r="WA3" s="289"/>
      <c r="WB3" s="289"/>
      <c r="WC3" s="289"/>
      <c r="WD3" s="289"/>
      <c r="WE3" s="289"/>
      <c r="WF3" s="289"/>
      <c r="WG3" s="289"/>
      <c r="WH3" s="289"/>
      <c r="WI3" s="289"/>
      <c r="WJ3" s="289"/>
      <c r="WK3" s="289"/>
      <c r="WL3" s="289"/>
      <c r="WM3" s="289"/>
      <c r="WN3" s="289"/>
      <c r="WO3" s="289"/>
      <c r="WP3" s="289"/>
      <c r="WQ3" s="289"/>
      <c r="WR3" s="289"/>
      <c r="WS3" s="289"/>
      <c r="WT3" s="289"/>
      <c r="WU3" s="289"/>
      <c r="WV3" s="289"/>
      <c r="WW3" s="289"/>
      <c r="WX3" s="289"/>
      <c r="WY3" s="289"/>
      <c r="WZ3" s="289"/>
      <c r="XA3" s="289"/>
      <c r="XB3" s="289"/>
      <c r="XC3" s="289"/>
      <c r="XD3" s="289"/>
      <c r="XE3" s="289"/>
      <c r="XF3" s="289"/>
      <c r="XG3" s="289"/>
      <c r="XH3" s="289"/>
      <c r="XI3" s="289"/>
      <c r="XJ3" s="289"/>
      <c r="XK3" s="289"/>
      <c r="XL3" s="289"/>
      <c r="XM3" s="289"/>
      <c r="XN3" s="289"/>
      <c r="XO3" s="289"/>
      <c r="XP3" s="289"/>
      <c r="XQ3" s="289"/>
      <c r="XR3" s="289"/>
      <c r="XS3" s="289"/>
      <c r="XT3" s="289"/>
      <c r="XU3" s="289"/>
      <c r="XV3" s="289"/>
      <c r="XW3" s="289"/>
      <c r="XX3" s="289"/>
      <c r="XY3" s="289"/>
      <c r="XZ3" s="289"/>
      <c r="YA3" s="289"/>
      <c r="YB3" s="289"/>
      <c r="YC3" s="289"/>
      <c r="YD3" s="289"/>
      <c r="YE3" s="289"/>
      <c r="YF3" s="289"/>
      <c r="YG3" s="289"/>
      <c r="YH3" s="289"/>
      <c r="YI3" s="289"/>
      <c r="YJ3" s="289"/>
      <c r="YK3" s="289"/>
      <c r="YL3" s="289"/>
      <c r="YM3" s="289"/>
      <c r="YN3" s="289"/>
      <c r="YO3" s="289"/>
      <c r="YP3" s="289"/>
      <c r="YQ3" s="289"/>
      <c r="YR3" s="289"/>
      <c r="YS3" s="289"/>
      <c r="YT3" s="289"/>
      <c r="YU3" s="289"/>
      <c r="YV3" s="289"/>
      <c r="YW3" s="289"/>
      <c r="YX3" s="289"/>
      <c r="YY3" s="289"/>
      <c r="YZ3" s="289"/>
      <c r="ZA3" s="289"/>
      <c r="ZB3" s="289"/>
      <c r="ZC3" s="289"/>
      <c r="ZD3" s="289"/>
      <c r="ZE3" s="289"/>
      <c r="ZF3" s="289"/>
      <c r="ZG3" s="289"/>
      <c r="ZH3" s="289"/>
      <c r="ZI3" s="289"/>
      <c r="ZJ3" s="289"/>
      <c r="ZK3" s="289"/>
      <c r="ZL3" s="289"/>
      <c r="ZM3" s="289"/>
      <c r="ZN3" s="289"/>
      <c r="ZO3" s="289"/>
      <c r="ZP3" s="289"/>
      <c r="ZQ3" s="289"/>
      <c r="ZR3" s="289"/>
      <c r="ZS3" s="289"/>
      <c r="ZT3" s="289"/>
      <c r="ZU3" s="289"/>
      <c r="ZV3" s="289"/>
      <c r="ZW3" s="289"/>
      <c r="ZX3" s="289"/>
      <c r="ZY3" s="289"/>
      <c r="ZZ3" s="289"/>
      <c r="AAA3" s="289"/>
      <c r="AAB3" s="289"/>
      <c r="AAC3" s="289"/>
      <c r="AAD3" s="289"/>
      <c r="AAE3" s="289"/>
      <c r="AAF3" s="289"/>
      <c r="AAG3" s="289"/>
      <c r="AAH3" s="289"/>
      <c r="AAI3" s="289"/>
      <c r="AAJ3" s="289"/>
      <c r="AAK3" s="289"/>
      <c r="AAL3" s="289"/>
      <c r="AAM3" s="289"/>
      <c r="AAN3" s="289"/>
      <c r="AAO3" s="289"/>
      <c r="AAP3" s="289"/>
      <c r="AAQ3" s="289"/>
      <c r="AAR3" s="289"/>
      <c r="AAS3" s="289"/>
      <c r="AAT3" s="289"/>
      <c r="AAU3" s="289"/>
      <c r="AAV3" s="289"/>
      <c r="AAW3" s="289"/>
      <c r="AAX3" s="289"/>
      <c r="AAY3" s="289"/>
      <c r="AAZ3" s="289"/>
      <c r="ABA3" s="289"/>
      <c r="ABB3" s="289"/>
      <c r="ABC3" s="289"/>
      <c r="ABD3" s="289"/>
      <c r="ABE3" s="289"/>
      <c r="ABF3" s="289"/>
      <c r="ABG3" s="289"/>
      <c r="ABH3" s="289"/>
      <c r="ABI3" s="289"/>
      <c r="ABJ3" s="289"/>
      <c r="ABK3" s="289"/>
      <c r="ABL3" s="289"/>
      <c r="ABM3" s="289"/>
      <c r="ABN3" s="289"/>
      <c r="ABO3" s="289"/>
      <c r="ABP3" s="289"/>
      <c r="ABQ3" s="289"/>
      <c r="ABR3" s="289"/>
      <c r="ABS3" s="289"/>
      <c r="ABT3" s="289"/>
      <c r="ABU3" s="289"/>
      <c r="ABV3" s="289"/>
      <c r="ABW3" s="289"/>
      <c r="ABX3" s="289"/>
      <c r="ABY3" s="289"/>
      <c r="ABZ3" s="289"/>
      <c r="ACA3" s="289"/>
      <c r="ACB3" s="289"/>
      <c r="ACC3" s="289"/>
      <c r="ACD3" s="289"/>
      <c r="ACE3" s="289"/>
      <c r="ACF3" s="289"/>
      <c r="ACG3" s="289"/>
      <c r="ACH3" s="289"/>
      <c r="ACI3" s="289"/>
      <c r="ACJ3" s="289"/>
      <c r="ACK3" s="289"/>
      <c r="ACL3" s="289"/>
      <c r="ACM3" s="289"/>
      <c r="ACN3" s="289"/>
      <c r="ACO3" s="289"/>
      <c r="ACP3" s="289"/>
      <c r="ACQ3" s="289"/>
      <c r="ACR3" s="289"/>
      <c r="ACS3" s="289"/>
      <c r="ACT3" s="289"/>
      <c r="ACU3" s="289"/>
      <c r="ACV3" s="289"/>
      <c r="ACW3" s="289"/>
      <c r="ACX3" s="289"/>
      <c r="ACY3" s="289"/>
      <c r="ACZ3" s="289"/>
      <c r="ADA3" s="289"/>
      <c r="ADB3" s="289"/>
      <c r="ADC3" s="289"/>
      <c r="ADD3" s="289"/>
      <c r="ADE3" s="289"/>
      <c r="ADF3" s="289"/>
      <c r="ADG3" s="289"/>
      <c r="ADH3" s="289"/>
      <c r="ADI3" s="289"/>
      <c r="ADJ3" s="289"/>
      <c r="ADK3" s="289"/>
      <c r="ADL3" s="289"/>
      <c r="ADM3" s="289"/>
      <c r="ADN3" s="289"/>
      <c r="ADO3" s="289"/>
      <c r="ADP3" s="289"/>
      <c r="ADQ3" s="289"/>
      <c r="ADR3" s="289"/>
      <c r="ADS3" s="289"/>
      <c r="ADT3" s="289"/>
      <c r="ADU3" s="289"/>
      <c r="ADV3" s="289"/>
      <c r="ADW3" s="289"/>
      <c r="ADX3" s="289"/>
      <c r="ADY3" s="289"/>
      <c r="ADZ3" s="289"/>
      <c r="AEA3" s="289"/>
      <c r="AEB3" s="289"/>
      <c r="AEC3" s="289"/>
      <c r="AED3" s="289"/>
      <c r="AEE3" s="289"/>
      <c r="AEF3" s="289"/>
      <c r="AEG3" s="289"/>
      <c r="AEH3" s="289"/>
      <c r="AEI3" s="289"/>
      <c r="AEJ3" s="289"/>
      <c r="AEK3" s="289"/>
      <c r="AEL3" s="289"/>
      <c r="AEM3" s="289"/>
      <c r="AEN3" s="289"/>
      <c r="AEO3" s="289"/>
      <c r="AEP3" s="289"/>
      <c r="AEQ3" s="289"/>
      <c r="AER3" s="289"/>
      <c r="AES3" s="289"/>
      <c r="AET3" s="289"/>
      <c r="AEU3" s="289"/>
      <c r="AEV3" s="289"/>
      <c r="AEW3" s="289"/>
      <c r="AEX3" s="289"/>
      <c r="AEY3" s="289"/>
      <c r="AEZ3" s="289"/>
      <c r="AFA3" s="289"/>
      <c r="AFB3" s="289"/>
      <c r="AFC3" s="289"/>
      <c r="AFD3" s="289"/>
      <c r="AFE3" s="289"/>
      <c r="AFF3" s="289"/>
      <c r="AFG3" s="289"/>
      <c r="AFH3" s="289"/>
      <c r="AFI3" s="289"/>
      <c r="AFJ3" s="289"/>
      <c r="AFK3" s="289"/>
      <c r="AFL3" s="289"/>
      <c r="AFM3" s="289"/>
      <c r="AFN3" s="289"/>
      <c r="AFO3" s="289"/>
      <c r="AFP3" s="289"/>
      <c r="AFQ3" s="289"/>
      <c r="AFR3" s="289"/>
      <c r="AFS3" s="289"/>
      <c r="AFT3" s="289"/>
      <c r="AFU3" s="289"/>
      <c r="AFV3" s="289"/>
      <c r="AFW3" s="289"/>
      <c r="AFX3" s="289"/>
      <c r="AFY3" s="289"/>
      <c r="AFZ3" s="289"/>
      <c r="AGA3" s="289"/>
      <c r="AGB3" s="289"/>
      <c r="AGC3" s="289"/>
      <c r="AGD3" s="289"/>
      <c r="AGE3" s="289"/>
      <c r="AGF3" s="289"/>
      <c r="AGG3" s="289"/>
      <c r="AGH3" s="289"/>
      <c r="AGI3" s="289"/>
      <c r="AGJ3" s="289"/>
      <c r="AGK3" s="289"/>
      <c r="AGL3" s="289"/>
      <c r="AGM3" s="289"/>
      <c r="AGN3" s="289"/>
      <c r="AGO3" s="289"/>
      <c r="AGP3" s="289"/>
      <c r="AGQ3" s="289"/>
      <c r="AGR3" s="289"/>
      <c r="AGS3" s="289"/>
      <c r="AGT3" s="289"/>
      <c r="AGU3" s="289"/>
      <c r="AGV3" s="289"/>
      <c r="AGW3" s="289"/>
      <c r="AGX3" s="289"/>
      <c r="AGY3" s="289"/>
      <c r="AGZ3" s="289"/>
      <c r="AHA3" s="289"/>
      <c r="AHB3" s="289"/>
      <c r="AHC3" s="289"/>
      <c r="AHD3" s="289"/>
      <c r="AHE3" s="289"/>
      <c r="AHF3" s="289"/>
      <c r="AHG3" s="289"/>
      <c r="AHH3" s="289"/>
      <c r="AHI3" s="289"/>
      <c r="AHJ3" s="289"/>
      <c r="AHK3" s="289"/>
      <c r="AHL3" s="289"/>
      <c r="AHM3" s="289"/>
      <c r="AHN3" s="289"/>
      <c r="AHO3" s="289"/>
      <c r="AHP3" s="289"/>
      <c r="AHQ3" s="289"/>
      <c r="AHR3" s="289"/>
      <c r="AHS3" s="289"/>
      <c r="AHT3" s="289"/>
      <c r="AHU3" s="289"/>
      <c r="AHV3" s="289"/>
      <c r="AHW3" s="289"/>
      <c r="AHX3" s="289"/>
      <c r="AHY3" s="289"/>
      <c r="AHZ3" s="289"/>
      <c r="AIA3" s="289"/>
      <c r="AIB3" s="289"/>
      <c r="AIC3" s="289"/>
      <c r="AID3" s="289"/>
      <c r="AIE3" s="289"/>
      <c r="AIF3" s="289"/>
      <c r="AIG3" s="289"/>
      <c r="AIH3" s="289"/>
      <c r="AII3" s="289"/>
      <c r="AIJ3" s="289"/>
      <c r="AIK3" s="289"/>
      <c r="AIL3" s="289"/>
      <c r="AIM3" s="289"/>
      <c r="AIN3" s="289"/>
      <c r="AIO3" s="289"/>
      <c r="AIP3" s="289"/>
      <c r="AIQ3" s="289"/>
      <c r="AIR3" s="289"/>
      <c r="AIS3" s="289"/>
      <c r="AIT3" s="289"/>
      <c r="AIU3" s="289"/>
      <c r="AIV3" s="289"/>
      <c r="AIW3" s="289"/>
      <c r="AIX3" s="289"/>
      <c r="AIY3" s="289"/>
      <c r="AIZ3" s="289"/>
      <c r="AJA3" s="289"/>
      <c r="AJB3" s="289"/>
      <c r="AJC3" s="289"/>
      <c r="AJD3" s="289"/>
      <c r="AJE3" s="289"/>
      <c r="AJF3" s="289"/>
      <c r="AJG3" s="289"/>
      <c r="AJH3" s="289"/>
      <c r="AJI3" s="289"/>
      <c r="AJJ3" s="289"/>
      <c r="AJK3" s="289"/>
      <c r="AJL3" s="289"/>
      <c r="AJM3" s="289"/>
      <c r="AJN3" s="289"/>
      <c r="AJO3" s="289"/>
      <c r="AJP3" s="289"/>
      <c r="AJQ3" s="289"/>
      <c r="AJR3" s="289"/>
      <c r="AJS3" s="289"/>
      <c r="AJT3" s="289"/>
      <c r="AJU3" s="289"/>
      <c r="AJV3" s="289"/>
      <c r="AJW3" s="289"/>
      <c r="AJX3" s="289"/>
      <c r="AJY3" s="289"/>
      <c r="AJZ3" s="289"/>
      <c r="AKA3" s="289"/>
      <c r="AKB3" s="289"/>
      <c r="AKC3" s="289"/>
      <c r="AKD3" s="289"/>
      <c r="AKE3" s="289"/>
      <c r="AKF3" s="289"/>
      <c r="AKG3" s="289"/>
      <c r="AKH3" s="289"/>
      <c r="AKI3" s="289"/>
      <c r="AKJ3" s="289"/>
      <c r="AKK3" s="289"/>
      <c r="AKL3" s="289"/>
      <c r="AKM3" s="289"/>
      <c r="AKN3" s="289"/>
      <c r="AKO3" s="289"/>
      <c r="AKP3" s="289"/>
      <c r="AKQ3" s="289"/>
      <c r="AKR3" s="289"/>
      <c r="AKS3" s="289"/>
      <c r="AKT3" s="289"/>
      <c r="AKU3" s="289"/>
      <c r="AKV3" s="289"/>
      <c r="AKW3" s="289"/>
    </row>
    <row r="4" spans="1:985" s="344" customFormat="1" ht="8.25" customHeight="1" x14ac:dyDescent="0.3">
      <c r="A4" s="417"/>
      <c r="B4" s="417"/>
      <c r="C4" s="417"/>
      <c r="D4" s="289"/>
      <c r="E4" s="289"/>
      <c r="F4" s="346"/>
      <c r="G4" s="289"/>
      <c r="H4" s="289"/>
      <c r="I4" s="1082" t="str">
        <f>IF(C17&gt;0,"Attenuated","Unattenuated")</f>
        <v>Unattenuated</v>
      </c>
      <c r="J4" s="1083"/>
      <c r="K4" s="417"/>
      <c r="L4" s="417"/>
      <c r="M4" s="417"/>
      <c r="N4" s="289"/>
      <c r="O4" s="289"/>
      <c r="P4" s="289"/>
      <c r="Q4" s="346"/>
      <c r="R4" s="289"/>
      <c r="S4" s="289"/>
      <c r="T4" s="290"/>
      <c r="U4" s="289"/>
      <c r="V4" s="750"/>
      <c r="W4" s="968"/>
      <c r="X4" s="289"/>
      <c r="Y4" s="289"/>
      <c r="Z4" s="289"/>
      <c r="AA4" s="289"/>
      <c r="AB4" s="289"/>
      <c r="AC4" s="289"/>
      <c r="AD4" s="289"/>
      <c r="AE4" s="289"/>
      <c r="AF4" s="289"/>
      <c r="AG4" s="289"/>
      <c r="AH4" s="289"/>
      <c r="AI4" s="289"/>
      <c r="AJ4" s="289"/>
      <c r="AK4" s="289"/>
      <c r="AL4" s="289"/>
      <c r="AM4" s="289"/>
      <c r="AN4" s="289"/>
      <c r="AO4" s="289"/>
      <c r="AP4" s="289"/>
      <c r="AQ4" s="289"/>
      <c r="AR4" s="289"/>
      <c r="AS4" s="289"/>
      <c r="AT4" s="289"/>
      <c r="AU4" s="289"/>
      <c r="AV4" s="289"/>
      <c r="AW4" s="289"/>
      <c r="AX4" s="289"/>
      <c r="AY4" s="289"/>
      <c r="AZ4" s="289"/>
      <c r="BA4" s="289"/>
      <c r="BB4" s="289"/>
      <c r="BC4" s="289"/>
      <c r="BD4" s="289"/>
      <c r="BE4" s="289"/>
      <c r="BF4" s="289"/>
      <c r="BG4" s="289"/>
      <c r="BH4" s="289"/>
      <c r="BI4" s="289"/>
      <c r="BJ4" s="289"/>
      <c r="BK4" s="289"/>
      <c r="BL4" s="289"/>
      <c r="BM4" s="289"/>
      <c r="BN4" s="289"/>
      <c r="BO4" s="289"/>
      <c r="BP4" s="289"/>
      <c r="BQ4" s="289"/>
      <c r="BR4" s="289"/>
      <c r="BS4" s="289"/>
      <c r="BT4" s="289"/>
      <c r="BU4" s="289"/>
      <c r="BV4" s="289"/>
      <c r="BW4" s="289"/>
      <c r="BX4" s="289"/>
      <c r="BY4" s="289"/>
      <c r="BZ4" s="289"/>
      <c r="CA4" s="289"/>
      <c r="CB4" s="289"/>
      <c r="CC4" s="289"/>
      <c r="CD4" s="289"/>
      <c r="CE4" s="289"/>
      <c r="CF4" s="289"/>
      <c r="CG4" s="289"/>
      <c r="CH4" s="289"/>
      <c r="CI4" s="289"/>
      <c r="CJ4" s="289"/>
      <c r="CK4" s="289"/>
      <c r="CL4" s="289"/>
      <c r="CM4" s="289"/>
      <c r="CN4" s="289"/>
      <c r="CO4" s="289"/>
      <c r="CP4" s="289"/>
      <c r="CQ4" s="289"/>
      <c r="CR4" s="289"/>
      <c r="CS4" s="289"/>
      <c r="CT4" s="289"/>
      <c r="CU4" s="289"/>
      <c r="CV4" s="289"/>
      <c r="CW4" s="289"/>
      <c r="CX4" s="289"/>
      <c r="CY4" s="289"/>
      <c r="CZ4" s="289"/>
      <c r="DA4" s="289"/>
      <c r="DB4" s="289"/>
      <c r="DC4" s="289"/>
      <c r="DD4" s="289"/>
      <c r="DE4" s="289"/>
      <c r="DF4" s="289"/>
      <c r="DG4" s="289"/>
      <c r="DH4" s="289"/>
      <c r="DI4" s="289"/>
      <c r="DJ4" s="289"/>
      <c r="DK4" s="289"/>
      <c r="DL4" s="289"/>
      <c r="DM4" s="289"/>
      <c r="DN4" s="289"/>
      <c r="DO4" s="289"/>
      <c r="DP4" s="289"/>
      <c r="DQ4" s="289"/>
      <c r="DR4" s="289"/>
      <c r="DS4" s="289"/>
      <c r="DT4" s="289"/>
      <c r="DU4" s="289"/>
      <c r="DV4" s="289"/>
      <c r="DW4" s="289"/>
      <c r="DX4" s="289"/>
      <c r="DY4" s="289"/>
      <c r="DZ4" s="289"/>
      <c r="EA4" s="289"/>
      <c r="EB4" s="289"/>
      <c r="EC4" s="289"/>
      <c r="ED4" s="289"/>
      <c r="EE4" s="289"/>
      <c r="EF4" s="289"/>
      <c r="EG4" s="289"/>
      <c r="EH4" s="289"/>
      <c r="EI4" s="289"/>
      <c r="EJ4" s="289"/>
      <c r="EK4" s="289"/>
      <c r="EL4" s="289"/>
      <c r="EM4" s="289"/>
      <c r="EN4" s="289"/>
      <c r="EO4" s="289"/>
      <c r="EP4" s="289"/>
      <c r="EQ4" s="289"/>
      <c r="ER4" s="289"/>
      <c r="ES4" s="289"/>
      <c r="ET4" s="289"/>
      <c r="EU4" s="289"/>
      <c r="EV4" s="289"/>
      <c r="EW4" s="289"/>
      <c r="EX4" s="289"/>
      <c r="EY4" s="289"/>
      <c r="EZ4" s="289"/>
      <c r="FA4" s="289"/>
      <c r="FB4" s="289"/>
      <c r="FC4" s="289"/>
      <c r="FD4" s="289"/>
      <c r="FE4" s="289"/>
      <c r="FF4" s="289"/>
      <c r="FG4" s="289"/>
      <c r="FH4" s="289"/>
      <c r="FI4" s="289"/>
      <c r="FJ4" s="289"/>
      <c r="FK4" s="289"/>
      <c r="FL4" s="289"/>
      <c r="FM4" s="289"/>
      <c r="FN4" s="289"/>
      <c r="FO4" s="289"/>
      <c r="FP4" s="289"/>
      <c r="FQ4" s="289"/>
      <c r="FR4" s="289"/>
      <c r="FS4" s="289"/>
      <c r="FT4" s="289"/>
      <c r="FU4" s="289"/>
      <c r="FV4" s="289"/>
      <c r="FW4" s="289"/>
      <c r="FX4" s="289"/>
      <c r="FY4" s="289"/>
      <c r="FZ4" s="289"/>
      <c r="GA4" s="289"/>
      <c r="GB4" s="289"/>
      <c r="GC4" s="289"/>
      <c r="GD4" s="289"/>
      <c r="GE4" s="289"/>
      <c r="GF4" s="289"/>
      <c r="GG4" s="289"/>
      <c r="GH4" s="289"/>
      <c r="GI4" s="289"/>
      <c r="GJ4" s="289"/>
      <c r="GK4" s="289"/>
      <c r="GL4" s="289"/>
      <c r="GM4" s="289"/>
      <c r="GN4" s="289"/>
      <c r="GO4" s="289"/>
      <c r="GP4" s="289"/>
      <c r="GQ4" s="289"/>
      <c r="GR4" s="289"/>
      <c r="GS4" s="289"/>
      <c r="GT4" s="289"/>
      <c r="GU4" s="289"/>
      <c r="GV4" s="289"/>
      <c r="GW4" s="289"/>
      <c r="GX4" s="289"/>
      <c r="GY4" s="289"/>
      <c r="GZ4" s="289"/>
      <c r="HA4" s="289"/>
      <c r="HB4" s="289"/>
      <c r="HC4" s="289"/>
      <c r="HD4" s="289"/>
      <c r="HE4" s="289"/>
      <c r="HF4" s="289"/>
      <c r="HG4" s="289"/>
      <c r="HH4" s="289"/>
      <c r="HI4" s="289"/>
      <c r="HJ4" s="289"/>
      <c r="HK4" s="289"/>
      <c r="HL4" s="289"/>
      <c r="HM4" s="289"/>
      <c r="HN4" s="289"/>
      <c r="HO4" s="289"/>
      <c r="HP4" s="289"/>
      <c r="HQ4" s="289"/>
      <c r="HR4" s="289"/>
      <c r="HS4" s="289"/>
      <c r="HT4" s="289"/>
      <c r="HU4" s="289"/>
      <c r="HV4" s="289"/>
      <c r="HW4" s="289"/>
      <c r="HX4" s="289"/>
      <c r="HY4" s="289"/>
      <c r="HZ4" s="289"/>
      <c r="IA4" s="289"/>
      <c r="IB4" s="289"/>
      <c r="IC4" s="289"/>
      <c r="ID4" s="289"/>
      <c r="IE4" s="289"/>
      <c r="IF4" s="289"/>
      <c r="IG4" s="289"/>
      <c r="IH4" s="289"/>
      <c r="II4" s="289"/>
      <c r="IJ4" s="289"/>
      <c r="IK4" s="289"/>
      <c r="IL4" s="289"/>
      <c r="IM4" s="289"/>
      <c r="IN4" s="289"/>
      <c r="IO4" s="289"/>
      <c r="IP4" s="289"/>
      <c r="IQ4" s="289"/>
      <c r="IR4" s="289"/>
      <c r="IS4" s="289"/>
      <c r="IT4" s="289"/>
      <c r="IU4" s="289"/>
      <c r="IV4" s="289"/>
      <c r="IW4" s="289"/>
      <c r="IX4" s="289"/>
      <c r="IY4" s="289"/>
      <c r="IZ4" s="289"/>
      <c r="JA4" s="289"/>
      <c r="JB4" s="289"/>
      <c r="JC4" s="289"/>
      <c r="JD4" s="289"/>
      <c r="JE4" s="289"/>
      <c r="JF4" s="289"/>
      <c r="JG4" s="289"/>
      <c r="JH4" s="289"/>
      <c r="JI4" s="289"/>
      <c r="JJ4" s="289"/>
      <c r="JK4" s="289"/>
      <c r="JL4" s="289"/>
      <c r="JM4" s="289"/>
      <c r="JN4" s="289"/>
      <c r="JO4" s="289"/>
      <c r="JP4" s="289"/>
      <c r="JQ4" s="289"/>
      <c r="JR4" s="289"/>
      <c r="JS4" s="289"/>
      <c r="JT4" s="289"/>
      <c r="JU4" s="289"/>
      <c r="JV4" s="289"/>
      <c r="JW4" s="289"/>
      <c r="JX4" s="289"/>
      <c r="JY4" s="289"/>
      <c r="JZ4" s="289"/>
      <c r="KA4" s="289"/>
      <c r="KB4" s="289"/>
      <c r="KC4" s="289"/>
      <c r="KD4" s="289"/>
      <c r="KE4" s="289"/>
      <c r="KF4" s="289"/>
      <c r="KG4" s="289"/>
      <c r="KH4" s="289"/>
      <c r="KI4" s="289"/>
      <c r="KJ4" s="289"/>
      <c r="KK4" s="289"/>
      <c r="KL4" s="289"/>
      <c r="KM4" s="289"/>
      <c r="KN4" s="289"/>
      <c r="KO4" s="289"/>
      <c r="KP4" s="289"/>
      <c r="KQ4" s="289"/>
      <c r="KR4" s="289"/>
      <c r="KS4" s="289"/>
      <c r="KT4" s="289"/>
      <c r="KU4" s="289"/>
      <c r="KV4" s="289"/>
      <c r="KW4" s="289"/>
      <c r="KX4" s="289"/>
      <c r="KY4" s="289"/>
      <c r="KZ4" s="289"/>
      <c r="LA4" s="289"/>
      <c r="LB4" s="289"/>
      <c r="LC4" s="289"/>
      <c r="LD4" s="289"/>
      <c r="LE4" s="289"/>
      <c r="LF4" s="289"/>
      <c r="LG4" s="289"/>
      <c r="LH4" s="289"/>
      <c r="LI4" s="289"/>
      <c r="LJ4" s="289"/>
      <c r="LK4" s="289"/>
      <c r="LL4" s="289"/>
      <c r="LM4" s="289"/>
      <c r="LN4" s="289"/>
      <c r="LO4" s="289"/>
      <c r="LP4" s="289"/>
      <c r="LQ4" s="289"/>
      <c r="LR4" s="289"/>
      <c r="LS4" s="289"/>
      <c r="LT4" s="289"/>
      <c r="LU4" s="289"/>
      <c r="LV4" s="289"/>
      <c r="LW4" s="289"/>
      <c r="LX4" s="289"/>
      <c r="LY4" s="289"/>
      <c r="LZ4" s="289"/>
      <c r="MA4" s="289"/>
      <c r="MB4" s="289"/>
      <c r="MC4" s="289"/>
      <c r="MD4" s="289"/>
      <c r="ME4" s="289"/>
      <c r="MF4" s="289"/>
      <c r="MG4" s="289"/>
      <c r="MH4" s="289"/>
      <c r="MI4" s="289"/>
      <c r="MJ4" s="289"/>
      <c r="MK4" s="289"/>
      <c r="ML4" s="289"/>
      <c r="MM4" s="289"/>
      <c r="MN4" s="289"/>
      <c r="MO4" s="289"/>
      <c r="MP4" s="289"/>
      <c r="MQ4" s="289"/>
      <c r="MR4" s="289"/>
      <c r="MS4" s="289"/>
      <c r="MT4" s="289"/>
      <c r="MU4" s="289"/>
      <c r="MV4" s="289"/>
      <c r="MW4" s="289"/>
      <c r="MX4" s="289"/>
      <c r="MY4" s="289"/>
      <c r="MZ4" s="289"/>
      <c r="NA4" s="289"/>
      <c r="NB4" s="289"/>
      <c r="NC4" s="289"/>
      <c r="ND4" s="289"/>
      <c r="NE4" s="289"/>
      <c r="NF4" s="289"/>
      <c r="NG4" s="289"/>
      <c r="NH4" s="289"/>
      <c r="NI4" s="289"/>
      <c r="NJ4" s="289"/>
      <c r="NK4" s="289"/>
      <c r="NL4" s="289"/>
      <c r="NM4" s="289"/>
      <c r="NN4" s="289"/>
      <c r="NO4" s="289"/>
      <c r="NP4" s="289"/>
      <c r="NQ4" s="289"/>
      <c r="NR4" s="289"/>
      <c r="NS4" s="289"/>
      <c r="NT4" s="289"/>
      <c r="NU4" s="289"/>
      <c r="NV4" s="289"/>
      <c r="NW4" s="289"/>
      <c r="NX4" s="289"/>
      <c r="NY4" s="289"/>
      <c r="NZ4" s="289"/>
      <c r="OA4" s="289"/>
      <c r="OB4" s="289"/>
      <c r="OC4" s="289"/>
      <c r="OD4" s="289"/>
      <c r="OE4" s="289"/>
      <c r="OF4" s="289"/>
      <c r="OG4" s="289"/>
      <c r="OH4" s="289"/>
      <c r="OI4" s="289"/>
      <c r="OJ4" s="289"/>
      <c r="OK4" s="289"/>
      <c r="OL4" s="289"/>
      <c r="OM4" s="289"/>
      <c r="ON4" s="289"/>
      <c r="OO4" s="289"/>
      <c r="OP4" s="289"/>
      <c r="OQ4" s="289"/>
      <c r="OR4" s="289"/>
      <c r="OS4" s="289"/>
      <c r="OT4" s="289"/>
      <c r="OU4" s="289"/>
      <c r="OV4" s="289"/>
      <c r="OW4" s="289"/>
      <c r="OX4" s="289"/>
      <c r="OY4" s="289"/>
      <c r="OZ4" s="289"/>
      <c r="PA4" s="289"/>
      <c r="PB4" s="289"/>
      <c r="PC4" s="289"/>
      <c r="PD4" s="289"/>
      <c r="PE4" s="289"/>
      <c r="PF4" s="289"/>
      <c r="PG4" s="289"/>
      <c r="PH4" s="289"/>
      <c r="PI4" s="289"/>
      <c r="PJ4" s="289"/>
      <c r="PK4" s="289"/>
      <c r="PL4" s="289"/>
      <c r="PM4" s="289"/>
      <c r="PN4" s="289"/>
      <c r="PO4" s="289"/>
      <c r="PP4" s="289"/>
      <c r="PQ4" s="289"/>
      <c r="PR4" s="289"/>
      <c r="PS4" s="289"/>
      <c r="PT4" s="289"/>
      <c r="PU4" s="289"/>
      <c r="PV4" s="289"/>
      <c r="PW4" s="289"/>
      <c r="PX4" s="289"/>
      <c r="PY4" s="289"/>
      <c r="PZ4" s="289"/>
      <c r="QA4" s="289"/>
      <c r="QB4" s="289"/>
      <c r="QC4" s="289"/>
      <c r="QD4" s="289"/>
      <c r="QE4" s="289"/>
      <c r="QF4" s="289"/>
      <c r="QG4" s="289"/>
      <c r="QH4" s="289"/>
      <c r="QI4" s="289"/>
      <c r="QJ4" s="289"/>
      <c r="QK4" s="289"/>
      <c r="QL4" s="289"/>
      <c r="QM4" s="289"/>
      <c r="QN4" s="289"/>
      <c r="QO4" s="289"/>
      <c r="QP4" s="289"/>
      <c r="QQ4" s="289"/>
      <c r="QR4" s="289"/>
      <c r="QS4" s="289"/>
      <c r="QT4" s="289"/>
      <c r="QU4" s="289"/>
      <c r="QV4" s="289"/>
      <c r="QW4" s="289"/>
      <c r="QX4" s="289"/>
      <c r="QY4" s="289"/>
      <c r="QZ4" s="289"/>
      <c r="RA4" s="289"/>
      <c r="RB4" s="289"/>
      <c r="RC4" s="289"/>
      <c r="RD4" s="289"/>
      <c r="RE4" s="289"/>
      <c r="RF4" s="289"/>
      <c r="RG4" s="289"/>
      <c r="RH4" s="289"/>
      <c r="RI4" s="289"/>
      <c r="RJ4" s="289"/>
      <c r="RK4" s="289"/>
      <c r="RL4" s="289"/>
      <c r="RM4" s="289"/>
      <c r="RN4" s="289"/>
      <c r="RO4" s="289"/>
      <c r="RP4" s="289"/>
      <c r="RQ4" s="289"/>
      <c r="RR4" s="289"/>
      <c r="RS4" s="289"/>
      <c r="RT4" s="289"/>
      <c r="RU4" s="289"/>
      <c r="RV4" s="289"/>
      <c r="RW4" s="289"/>
      <c r="RX4" s="289"/>
      <c r="RY4" s="289"/>
      <c r="RZ4" s="289"/>
      <c r="SA4" s="289"/>
      <c r="SB4" s="289"/>
      <c r="SC4" s="289"/>
      <c r="SD4" s="289"/>
      <c r="SE4" s="289"/>
      <c r="SF4" s="289"/>
      <c r="SG4" s="289"/>
      <c r="SH4" s="289"/>
      <c r="SI4" s="289"/>
      <c r="SJ4" s="289"/>
      <c r="SK4" s="289"/>
      <c r="SL4" s="289"/>
      <c r="SM4" s="289"/>
      <c r="SN4" s="289"/>
      <c r="SO4" s="289"/>
      <c r="SP4" s="289"/>
      <c r="SQ4" s="289"/>
      <c r="SR4" s="289"/>
      <c r="SS4" s="289"/>
      <c r="ST4" s="289"/>
      <c r="SU4" s="289"/>
      <c r="SV4" s="289"/>
      <c r="SW4" s="289"/>
      <c r="SX4" s="289"/>
      <c r="SY4" s="289"/>
      <c r="SZ4" s="289"/>
      <c r="TA4" s="289"/>
      <c r="TB4" s="289"/>
      <c r="TC4" s="289"/>
      <c r="TD4" s="289"/>
      <c r="TE4" s="289"/>
      <c r="TF4" s="289"/>
      <c r="TG4" s="289"/>
      <c r="TH4" s="289"/>
      <c r="TI4" s="289"/>
      <c r="TJ4" s="289"/>
      <c r="TK4" s="289"/>
      <c r="TL4" s="289"/>
      <c r="TM4" s="289"/>
      <c r="TN4" s="289"/>
      <c r="TO4" s="289"/>
      <c r="TP4" s="289"/>
      <c r="TQ4" s="289"/>
      <c r="TR4" s="289"/>
      <c r="TS4" s="289"/>
      <c r="TT4" s="289"/>
      <c r="TU4" s="289"/>
      <c r="TV4" s="289"/>
      <c r="TW4" s="289"/>
      <c r="TX4" s="289"/>
      <c r="TY4" s="289"/>
      <c r="TZ4" s="289"/>
      <c r="UA4" s="289"/>
      <c r="UB4" s="289"/>
      <c r="UC4" s="289"/>
      <c r="UD4" s="289"/>
      <c r="UE4" s="289"/>
      <c r="UF4" s="289"/>
      <c r="UG4" s="289"/>
      <c r="UH4" s="289"/>
      <c r="UI4" s="289"/>
      <c r="UJ4" s="289"/>
      <c r="UK4" s="289"/>
      <c r="UL4" s="289"/>
      <c r="UM4" s="289"/>
      <c r="UN4" s="289"/>
      <c r="UO4" s="289"/>
      <c r="UP4" s="289"/>
      <c r="UQ4" s="289"/>
      <c r="UR4" s="289"/>
      <c r="US4" s="289"/>
      <c r="UT4" s="289"/>
      <c r="UU4" s="289"/>
      <c r="UV4" s="289"/>
      <c r="UW4" s="289"/>
      <c r="UX4" s="289"/>
      <c r="UY4" s="289"/>
      <c r="UZ4" s="289"/>
      <c r="VA4" s="289"/>
      <c r="VB4" s="289"/>
      <c r="VC4" s="289"/>
      <c r="VD4" s="289"/>
      <c r="VE4" s="289"/>
      <c r="VF4" s="289"/>
      <c r="VG4" s="289"/>
      <c r="VH4" s="289"/>
      <c r="VI4" s="289"/>
      <c r="VJ4" s="289"/>
      <c r="VK4" s="289"/>
      <c r="VL4" s="289"/>
      <c r="VM4" s="289"/>
      <c r="VN4" s="289"/>
      <c r="VO4" s="289"/>
      <c r="VP4" s="289"/>
      <c r="VQ4" s="289"/>
      <c r="VR4" s="289"/>
      <c r="VS4" s="289"/>
      <c r="VT4" s="289"/>
      <c r="VU4" s="289"/>
      <c r="VV4" s="289"/>
      <c r="VW4" s="289"/>
      <c r="VX4" s="289"/>
      <c r="VY4" s="289"/>
      <c r="VZ4" s="289"/>
      <c r="WA4" s="289"/>
      <c r="WB4" s="289"/>
      <c r="WC4" s="289"/>
      <c r="WD4" s="289"/>
      <c r="WE4" s="289"/>
      <c r="WF4" s="289"/>
      <c r="WG4" s="289"/>
      <c r="WH4" s="289"/>
      <c r="WI4" s="289"/>
      <c r="WJ4" s="289"/>
      <c r="WK4" s="289"/>
      <c r="WL4" s="289"/>
      <c r="WM4" s="289"/>
      <c r="WN4" s="289"/>
      <c r="WO4" s="289"/>
      <c r="WP4" s="289"/>
      <c r="WQ4" s="289"/>
      <c r="WR4" s="289"/>
      <c r="WS4" s="289"/>
      <c r="WT4" s="289"/>
      <c r="WU4" s="289"/>
      <c r="WV4" s="289"/>
      <c r="WW4" s="289"/>
      <c r="WX4" s="289"/>
      <c r="WY4" s="289"/>
      <c r="WZ4" s="289"/>
      <c r="XA4" s="289"/>
      <c r="XB4" s="289"/>
      <c r="XC4" s="289"/>
      <c r="XD4" s="289"/>
      <c r="XE4" s="289"/>
      <c r="XF4" s="289"/>
      <c r="XG4" s="289"/>
      <c r="XH4" s="289"/>
      <c r="XI4" s="289"/>
      <c r="XJ4" s="289"/>
      <c r="XK4" s="289"/>
      <c r="XL4" s="289"/>
      <c r="XM4" s="289"/>
      <c r="XN4" s="289"/>
      <c r="XO4" s="289"/>
      <c r="XP4" s="289"/>
      <c r="XQ4" s="289"/>
      <c r="XR4" s="289"/>
      <c r="XS4" s="289"/>
      <c r="XT4" s="289"/>
      <c r="XU4" s="289"/>
      <c r="XV4" s="289"/>
      <c r="XW4" s="289"/>
      <c r="XX4" s="289"/>
      <c r="XY4" s="289"/>
      <c r="XZ4" s="289"/>
      <c r="YA4" s="289"/>
      <c r="YB4" s="289"/>
      <c r="YC4" s="289"/>
      <c r="YD4" s="289"/>
      <c r="YE4" s="289"/>
      <c r="YF4" s="289"/>
      <c r="YG4" s="289"/>
      <c r="YH4" s="289"/>
      <c r="YI4" s="289"/>
      <c r="YJ4" s="289"/>
      <c r="YK4" s="289"/>
      <c r="YL4" s="289"/>
      <c r="YM4" s="289"/>
      <c r="YN4" s="289"/>
      <c r="YO4" s="289"/>
      <c r="YP4" s="289"/>
      <c r="YQ4" s="289"/>
      <c r="YR4" s="289"/>
      <c r="YS4" s="289"/>
      <c r="YT4" s="289"/>
      <c r="YU4" s="289"/>
      <c r="YV4" s="289"/>
      <c r="YW4" s="289"/>
      <c r="YX4" s="289"/>
      <c r="YY4" s="289"/>
      <c r="YZ4" s="289"/>
      <c r="ZA4" s="289"/>
      <c r="ZB4" s="289"/>
      <c r="ZC4" s="289"/>
      <c r="ZD4" s="289"/>
      <c r="ZE4" s="289"/>
      <c r="ZF4" s="289"/>
      <c r="ZG4" s="289"/>
      <c r="ZH4" s="289"/>
      <c r="ZI4" s="289"/>
      <c r="ZJ4" s="289"/>
      <c r="ZK4" s="289"/>
      <c r="ZL4" s="289"/>
      <c r="ZM4" s="289"/>
      <c r="ZN4" s="289"/>
      <c r="ZO4" s="289"/>
      <c r="ZP4" s="289"/>
      <c r="ZQ4" s="289"/>
      <c r="ZR4" s="289"/>
      <c r="ZS4" s="289"/>
      <c r="ZT4" s="289"/>
      <c r="ZU4" s="289"/>
      <c r="ZV4" s="289"/>
      <c r="ZW4" s="289"/>
      <c r="ZX4" s="289"/>
      <c r="ZY4" s="289"/>
      <c r="ZZ4" s="289"/>
      <c r="AAA4" s="289"/>
      <c r="AAB4" s="289"/>
      <c r="AAC4" s="289"/>
      <c r="AAD4" s="289"/>
      <c r="AAE4" s="289"/>
      <c r="AAF4" s="289"/>
      <c r="AAG4" s="289"/>
      <c r="AAH4" s="289"/>
      <c r="AAI4" s="289"/>
      <c r="AAJ4" s="289"/>
      <c r="AAK4" s="289"/>
      <c r="AAL4" s="289"/>
      <c r="AAM4" s="289"/>
      <c r="AAN4" s="289"/>
      <c r="AAO4" s="289"/>
      <c r="AAP4" s="289"/>
      <c r="AAQ4" s="289"/>
      <c r="AAR4" s="289"/>
      <c r="AAS4" s="289"/>
      <c r="AAT4" s="289"/>
      <c r="AAU4" s="289"/>
      <c r="AAV4" s="289"/>
      <c r="AAW4" s="289"/>
      <c r="AAX4" s="289"/>
      <c r="AAY4" s="289"/>
      <c r="AAZ4" s="289"/>
      <c r="ABA4" s="289"/>
      <c r="ABB4" s="289"/>
      <c r="ABC4" s="289"/>
      <c r="ABD4" s="289"/>
      <c r="ABE4" s="289"/>
      <c r="ABF4" s="289"/>
      <c r="ABG4" s="289"/>
      <c r="ABH4" s="289"/>
      <c r="ABI4" s="289"/>
      <c r="ABJ4" s="289"/>
      <c r="ABK4" s="289"/>
      <c r="ABL4" s="289"/>
      <c r="ABM4" s="289"/>
      <c r="ABN4" s="289"/>
      <c r="ABO4" s="289"/>
      <c r="ABP4" s="289"/>
      <c r="ABQ4" s="289"/>
      <c r="ABR4" s="289"/>
      <c r="ABS4" s="289"/>
      <c r="ABT4" s="289"/>
      <c r="ABU4" s="289"/>
      <c r="ABV4" s="289"/>
      <c r="ABW4" s="289"/>
      <c r="ABX4" s="289"/>
      <c r="ABY4" s="289"/>
      <c r="ABZ4" s="289"/>
      <c r="ACA4" s="289"/>
      <c r="ACB4" s="289"/>
      <c r="ACC4" s="289"/>
      <c r="ACD4" s="289"/>
      <c r="ACE4" s="289"/>
      <c r="ACF4" s="289"/>
      <c r="ACG4" s="289"/>
      <c r="ACH4" s="289"/>
      <c r="ACI4" s="289"/>
      <c r="ACJ4" s="289"/>
      <c r="ACK4" s="289"/>
      <c r="ACL4" s="289"/>
      <c r="ACM4" s="289"/>
      <c r="ACN4" s="289"/>
      <c r="ACO4" s="289"/>
      <c r="ACP4" s="289"/>
      <c r="ACQ4" s="289"/>
      <c r="ACR4" s="289"/>
      <c r="ACS4" s="289"/>
      <c r="ACT4" s="289"/>
      <c r="ACU4" s="289"/>
      <c r="ACV4" s="289"/>
      <c r="ACW4" s="289"/>
      <c r="ACX4" s="289"/>
      <c r="ACY4" s="289"/>
      <c r="ACZ4" s="289"/>
      <c r="ADA4" s="289"/>
      <c r="ADB4" s="289"/>
      <c r="ADC4" s="289"/>
      <c r="ADD4" s="289"/>
      <c r="ADE4" s="289"/>
      <c r="ADF4" s="289"/>
      <c r="ADG4" s="289"/>
      <c r="ADH4" s="289"/>
      <c r="ADI4" s="289"/>
      <c r="ADJ4" s="289"/>
      <c r="ADK4" s="289"/>
      <c r="ADL4" s="289"/>
      <c r="ADM4" s="289"/>
      <c r="ADN4" s="289"/>
      <c r="ADO4" s="289"/>
      <c r="ADP4" s="289"/>
      <c r="ADQ4" s="289"/>
      <c r="ADR4" s="289"/>
      <c r="ADS4" s="289"/>
      <c r="ADT4" s="289"/>
      <c r="ADU4" s="289"/>
      <c r="ADV4" s="289"/>
      <c r="ADW4" s="289"/>
      <c r="ADX4" s="289"/>
      <c r="ADY4" s="289"/>
      <c r="ADZ4" s="289"/>
      <c r="AEA4" s="289"/>
      <c r="AEB4" s="289"/>
      <c r="AEC4" s="289"/>
      <c r="AED4" s="289"/>
      <c r="AEE4" s="289"/>
      <c r="AEF4" s="289"/>
      <c r="AEG4" s="289"/>
      <c r="AEH4" s="289"/>
      <c r="AEI4" s="289"/>
      <c r="AEJ4" s="289"/>
      <c r="AEK4" s="289"/>
      <c r="AEL4" s="289"/>
      <c r="AEM4" s="289"/>
      <c r="AEN4" s="289"/>
      <c r="AEO4" s="289"/>
      <c r="AEP4" s="289"/>
      <c r="AEQ4" s="289"/>
      <c r="AER4" s="289"/>
      <c r="AES4" s="289"/>
      <c r="AET4" s="289"/>
      <c r="AEU4" s="289"/>
      <c r="AEV4" s="289"/>
      <c r="AEW4" s="289"/>
      <c r="AEX4" s="289"/>
      <c r="AEY4" s="289"/>
      <c r="AEZ4" s="289"/>
      <c r="AFA4" s="289"/>
      <c r="AFB4" s="289"/>
      <c r="AFC4" s="289"/>
      <c r="AFD4" s="289"/>
      <c r="AFE4" s="289"/>
      <c r="AFF4" s="289"/>
      <c r="AFG4" s="289"/>
      <c r="AFH4" s="289"/>
      <c r="AFI4" s="289"/>
      <c r="AFJ4" s="289"/>
      <c r="AFK4" s="289"/>
      <c r="AFL4" s="289"/>
      <c r="AFM4" s="289"/>
      <c r="AFN4" s="289"/>
      <c r="AFO4" s="289"/>
      <c r="AFP4" s="289"/>
      <c r="AFQ4" s="289"/>
      <c r="AFR4" s="289"/>
      <c r="AFS4" s="289"/>
      <c r="AFT4" s="289"/>
      <c r="AFU4" s="289"/>
      <c r="AFV4" s="289"/>
      <c r="AFW4" s="289"/>
      <c r="AFX4" s="289"/>
      <c r="AFY4" s="289"/>
      <c r="AFZ4" s="289"/>
      <c r="AGA4" s="289"/>
      <c r="AGB4" s="289"/>
      <c r="AGC4" s="289"/>
      <c r="AGD4" s="289"/>
      <c r="AGE4" s="289"/>
      <c r="AGF4" s="289"/>
      <c r="AGG4" s="289"/>
      <c r="AGH4" s="289"/>
      <c r="AGI4" s="289"/>
      <c r="AGJ4" s="289"/>
      <c r="AGK4" s="289"/>
      <c r="AGL4" s="289"/>
      <c r="AGM4" s="289"/>
      <c r="AGN4" s="289"/>
      <c r="AGO4" s="289"/>
      <c r="AGP4" s="289"/>
      <c r="AGQ4" s="289"/>
      <c r="AGR4" s="289"/>
      <c r="AGS4" s="289"/>
      <c r="AGT4" s="289"/>
      <c r="AGU4" s="289"/>
      <c r="AGV4" s="289"/>
      <c r="AGW4" s="289"/>
      <c r="AGX4" s="289"/>
      <c r="AGY4" s="289"/>
      <c r="AGZ4" s="289"/>
      <c r="AHA4" s="289"/>
      <c r="AHB4" s="289"/>
      <c r="AHC4" s="289"/>
      <c r="AHD4" s="289"/>
      <c r="AHE4" s="289"/>
      <c r="AHF4" s="289"/>
      <c r="AHG4" s="289"/>
      <c r="AHH4" s="289"/>
      <c r="AHI4" s="289"/>
      <c r="AHJ4" s="289"/>
      <c r="AHK4" s="289"/>
      <c r="AHL4" s="289"/>
      <c r="AHM4" s="289"/>
      <c r="AHN4" s="289"/>
      <c r="AHO4" s="289"/>
      <c r="AHP4" s="289"/>
      <c r="AHQ4" s="289"/>
      <c r="AHR4" s="289"/>
      <c r="AHS4" s="289"/>
      <c r="AHT4" s="289"/>
      <c r="AHU4" s="289"/>
      <c r="AHV4" s="289"/>
      <c r="AHW4" s="289"/>
      <c r="AHX4" s="289"/>
      <c r="AHY4" s="289"/>
      <c r="AHZ4" s="289"/>
      <c r="AIA4" s="289"/>
      <c r="AIB4" s="289"/>
      <c r="AIC4" s="289"/>
      <c r="AID4" s="289"/>
      <c r="AIE4" s="289"/>
      <c r="AIF4" s="289"/>
      <c r="AIG4" s="289"/>
      <c r="AIH4" s="289"/>
      <c r="AII4" s="289"/>
      <c r="AIJ4" s="289"/>
      <c r="AIK4" s="289"/>
      <c r="AIL4" s="289"/>
      <c r="AIM4" s="289"/>
      <c r="AIN4" s="289"/>
      <c r="AIO4" s="289"/>
      <c r="AIP4" s="289"/>
      <c r="AIQ4" s="289"/>
      <c r="AIR4" s="289"/>
      <c r="AIS4" s="289"/>
      <c r="AIT4" s="289"/>
      <c r="AIU4" s="289"/>
      <c r="AIV4" s="289"/>
      <c r="AIW4" s="289"/>
      <c r="AIX4" s="289"/>
      <c r="AIY4" s="289"/>
      <c r="AIZ4" s="289"/>
      <c r="AJA4" s="289"/>
      <c r="AJB4" s="289"/>
      <c r="AJC4" s="289"/>
      <c r="AJD4" s="289"/>
      <c r="AJE4" s="289"/>
      <c r="AJF4" s="289"/>
      <c r="AJG4" s="289"/>
      <c r="AJH4" s="289"/>
      <c r="AJI4" s="289"/>
      <c r="AJJ4" s="289"/>
      <c r="AJK4" s="289"/>
      <c r="AJL4" s="289"/>
      <c r="AJM4" s="289"/>
      <c r="AJN4" s="289"/>
      <c r="AJO4" s="289"/>
      <c r="AJP4" s="289"/>
      <c r="AJQ4" s="289"/>
      <c r="AJR4" s="289"/>
      <c r="AJS4" s="289"/>
      <c r="AJT4" s="289"/>
      <c r="AJU4" s="289"/>
      <c r="AJV4" s="289"/>
      <c r="AJW4" s="289"/>
      <c r="AJX4" s="289"/>
      <c r="AJY4" s="289"/>
      <c r="AJZ4" s="289"/>
      <c r="AKA4" s="289"/>
      <c r="AKB4" s="289"/>
      <c r="AKC4" s="289"/>
      <c r="AKD4" s="289"/>
      <c r="AKE4" s="289"/>
      <c r="AKF4" s="289"/>
      <c r="AKG4" s="289"/>
      <c r="AKH4" s="289"/>
      <c r="AKI4" s="289"/>
      <c r="AKJ4" s="289"/>
      <c r="AKK4" s="289"/>
      <c r="AKL4" s="289"/>
      <c r="AKM4" s="289"/>
      <c r="AKN4" s="289"/>
      <c r="AKO4" s="289"/>
      <c r="AKP4" s="289"/>
      <c r="AKQ4" s="289"/>
      <c r="AKR4" s="289"/>
      <c r="AKS4" s="289"/>
      <c r="AKT4" s="289"/>
      <c r="AKU4" s="289"/>
      <c r="AKV4" s="289"/>
      <c r="AKW4" s="289"/>
    </row>
    <row r="5" spans="1:985" s="289" customFormat="1" ht="13.5" customHeight="1" x14ac:dyDescent="0.3">
      <c r="A5" s="1109" t="s">
        <v>48</v>
      </c>
      <c r="B5" s="1109"/>
      <c r="C5" s="1109"/>
      <c r="D5" s="1109"/>
      <c r="E5" s="417"/>
      <c r="F5" s="417"/>
      <c r="G5" s="417"/>
      <c r="H5" s="417"/>
      <c r="I5" s="1084"/>
      <c r="J5" s="1085"/>
      <c r="K5" s="346"/>
      <c r="L5" s="1091" t="s">
        <v>49</v>
      </c>
      <c r="M5" s="1092"/>
      <c r="S5" s="290"/>
      <c r="U5" s="881"/>
      <c r="V5" s="881"/>
    </row>
    <row r="6" spans="1:985" s="289" customFormat="1" ht="18.75" customHeight="1" thickBot="1" x14ac:dyDescent="0.35">
      <c r="A6" s="1110"/>
      <c r="B6" s="1110"/>
      <c r="C6" s="1110"/>
      <c r="D6" s="1110"/>
      <c r="E6" s="417"/>
      <c r="F6" s="1086" t="s">
        <v>50</v>
      </c>
      <c r="G6" s="1087"/>
      <c r="H6" s="1088"/>
      <c r="I6" s="1079" t="e">
        <f>IF($L$6=0,VLOOKUP($C$10,'Pile Data'!$E$3:$J$34,2,FALSE)-IF($C$17=0,0,$C$17),$L$6-IF($C$17=0,0,$C$17))</f>
        <v>#N/A</v>
      </c>
      <c r="J6" s="1080"/>
      <c r="K6" s="447"/>
      <c r="L6" s="1060"/>
      <c r="M6" s="1061"/>
      <c r="O6" s="1093" t="s">
        <v>51</v>
      </c>
      <c r="P6" s="1094"/>
      <c r="Q6" s="1094"/>
      <c r="R6" s="452"/>
      <c r="U6" s="881"/>
      <c r="V6" s="881"/>
    </row>
    <row r="7" spans="1:985" ht="21" customHeight="1" thickTop="1" x14ac:dyDescent="0.3">
      <c r="A7" s="1108" t="s">
        <v>52</v>
      </c>
      <c r="B7" s="1108"/>
      <c r="C7" s="1100"/>
      <c r="D7" s="1101"/>
      <c r="E7" s="294"/>
      <c r="F7" s="1086" t="s">
        <v>53</v>
      </c>
      <c r="G7" s="1087"/>
      <c r="H7" s="1088"/>
      <c r="I7" s="1081" t="e">
        <f>IF($L$7=0,VLOOKUP($C$10,'Pile Data'!$E$3:$J$34,3,FALSE)-IF($C$17=0,0,$C$17),$L$7-IF($C$17=0,0,$C$17))</f>
        <v>#N/A</v>
      </c>
      <c r="J7" s="1081"/>
      <c r="K7" s="447"/>
      <c r="L7" s="1062"/>
      <c r="M7" s="1063"/>
      <c r="N7" s="880"/>
      <c r="O7" s="1093"/>
      <c r="P7" s="1094"/>
      <c r="Q7" s="1094"/>
      <c r="R7" s="452"/>
      <c r="S7" s="1099" t="str">
        <f>IF(OR($C$7="Wood",$C$7="Plastic", $C$7="Concrete"),"NOTE: Driving pilings made of this material creates a 'duller' sound which we do not expect to cause injury"," ")</f>
        <v xml:space="preserve"> </v>
      </c>
      <c r="T7" s="1099"/>
      <c r="U7" s="1099"/>
      <c r="V7" s="1099"/>
      <c r="W7" s="1099"/>
      <c r="X7" s="880"/>
      <c r="Y7" s="880"/>
      <c r="Z7" s="880"/>
      <c r="AA7" s="880"/>
      <c r="AB7" s="880"/>
      <c r="AC7" s="880"/>
      <c r="AD7" s="880"/>
      <c r="AE7" s="880"/>
      <c r="AF7" s="880"/>
      <c r="AG7" s="880"/>
      <c r="AH7" s="880"/>
      <c r="AI7" s="880"/>
      <c r="AJ7" s="880"/>
      <c r="AK7" s="880"/>
      <c r="AL7" s="880"/>
      <c r="AM7" s="880"/>
      <c r="AN7" s="880"/>
      <c r="AO7" s="880"/>
      <c r="AP7" s="880"/>
      <c r="AQ7" s="880"/>
      <c r="AR7" s="880"/>
      <c r="AS7" s="880"/>
      <c r="AT7" s="880"/>
      <c r="AU7" s="880"/>
      <c r="AV7" s="880"/>
      <c r="AW7" s="880"/>
      <c r="AX7" s="880"/>
      <c r="AY7" s="880"/>
      <c r="AZ7" s="880"/>
      <c r="BA7" s="880"/>
      <c r="BB7" s="880"/>
      <c r="BC7" s="880"/>
      <c r="BD7" s="880"/>
      <c r="BE7" s="880"/>
      <c r="BF7" s="880"/>
      <c r="BG7" s="880"/>
      <c r="BH7" s="880"/>
      <c r="BI7" s="880"/>
      <c r="BJ7" s="880"/>
      <c r="BK7" s="880"/>
      <c r="BL7" s="880"/>
      <c r="BM7" s="880"/>
      <c r="BN7" s="880"/>
      <c r="BO7" s="880"/>
      <c r="BP7" s="880"/>
      <c r="BQ7" s="880"/>
      <c r="BR7" s="880"/>
      <c r="BS7" s="880"/>
      <c r="BT7" s="880"/>
      <c r="BU7" s="880"/>
      <c r="BV7" s="880"/>
      <c r="BW7" s="880"/>
      <c r="BX7" s="880"/>
      <c r="BY7" s="880"/>
      <c r="BZ7" s="880"/>
      <c r="CA7" s="880"/>
      <c r="CB7" s="880"/>
      <c r="CC7" s="880"/>
      <c r="CD7" s="880"/>
      <c r="CE7" s="880"/>
      <c r="CF7" s="880"/>
      <c r="CG7" s="880"/>
      <c r="CH7" s="880"/>
      <c r="CI7" s="880"/>
      <c r="CJ7" s="880"/>
      <c r="CK7" s="880"/>
      <c r="CL7" s="880"/>
      <c r="CM7" s="880"/>
      <c r="CN7" s="880"/>
      <c r="CO7" s="880"/>
      <c r="CP7" s="880"/>
      <c r="CQ7" s="880"/>
      <c r="CR7" s="880"/>
      <c r="CS7" s="880"/>
      <c r="CT7" s="880"/>
      <c r="CU7" s="880"/>
      <c r="CV7" s="880"/>
      <c r="CW7" s="880"/>
      <c r="CX7" s="880"/>
      <c r="CY7" s="880"/>
      <c r="CZ7" s="880"/>
      <c r="DA7" s="880"/>
      <c r="DB7" s="880"/>
      <c r="DC7" s="880"/>
      <c r="DD7" s="880"/>
      <c r="DE7" s="880"/>
      <c r="DF7" s="880"/>
      <c r="DG7" s="880"/>
      <c r="DH7" s="880"/>
      <c r="DI7" s="880"/>
      <c r="DJ7" s="880"/>
      <c r="DK7" s="880"/>
      <c r="DL7" s="880"/>
      <c r="DM7" s="880"/>
      <c r="DN7" s="880"/>
      <c r="DO7" s="880"/>
      <c r="DP7" s="880"/>
      <c r="DQ7" s="880"/>
      <c r="DR7" s="880"/>
      <c r="DS7" s="880"/>
      <c r="DT7" s="880"/>
      <c r="DU7" s="880"/>
      <c r="DV7" s="880"/>
      <c r="DW7" s="880"/>
      <c r="DX7" s="880"/>
      <c r="DY7" s="880"/>
      <c r="DZ7" s="880"/>
      <c r="EA7" s="880"/>
      <c r="EB7" s="880"/>
      <c r="EC7" s="880"/>
      <c r="ED7" s="880"/>
      <c r="EE7" s="880"/>
      <c r="EF7" s="880"/>
      <c r="EG7" s="880"/>
      <c r="EH7" s="880"/>
      <c r="EI7" s="880"/>
      <c r="EJ7" s="880"/>
      <c r="EK7" s="880"/>
      <c r="EL7" s="880"/>
      <c r="EM7" s="880"/>
      <c r="EN7" s="880"/>
      <c r="EO7" s="880"/>
      <c r="EP7" s="880"/>
      <c r="EQ7" s="880"/>
      <c r="ER7" s="880"/>
      <c r="ES7" s="880"/>
      <c r="ET7" s="880"/>
      <c r="EU7" s="880"/>
      <c r="EV7" s="880"/>
      <c r="EW7" s="880"/>
      <c r="EX7" s="880"/>
      <c r="EY7" s="880"/>
      <c r="EZ7" s="880"/>
      <c r="FA7" s="880"/>
      <c r="FB7" s="880"/>
      <c r="FC7" s="880"/>
      <c r="FD7" s="880"/>
      <c r="FE7" s="880"/>
      <c r="FF7" s="880"/>
      <c r="FG7" s="880"/>
      <c r="FH7" s="880"/>
      <c r="FI7" s="880"/>
      <c r="FJ7" s="880"/>
      <c r="FK7" s="880"/>
      <c r="FL7" s="880"/>
      <c r="FM7" s="880"/>
      <c r="FN7" s="880"/>
      <c r="FO7" s="880"/>
      <c r="FP7" s="880"/>
      <c r="FQ7" s="880"/>
      <c r="FR7" s="880"/>
      <c r="FS7" s="880"/>
      <c r="FT7" s="880"/>
      <c r="FU7" s="880"/>
      <c r="FV7" s="880"/>
      <c r="FW7" s="880"/>
      <c r="FX7" s="880"/>
      <c r="FY7" s="880"/>
      <c r="FZ7" s="880"/>
      <c r="GA7" s="880"/>
      <c r="GB7" s="880"/>
      <c r="GC7" s="880"/>
      <c r="GD7" s="880"/>
      <c r="GE7" s="880"/>
      <c r="GF7" s="880"/>
      <c r="GG7" s="880"/>
      <c r="GH7" s="880"/>
      <c r="GI7" s="880"/>
      <c r="GJ7" s="880"/>
      <c r="GK7" s="880"/>
      <c r="GL7" s="880"/>
      <c r="GM7" s="880"/>
      <c r="GN7" s="880"/>
      <c r="GO7" s="880"/>
      <c r="GP7" s="880"/>
      <c r="GQ7" s="880"/>
      <c r="GR7" s="880"/>
      <c r="GS7" s="880"/>
      <c r="GT7" s="880"/>
      <c r="GU7" s="880"/>
      <c r="GV7" s="880"/>
      <c r="GW7" s="880"/>
      <c r="GX7" s="880"/>
      <c r="GY7" s="880"/>
      <c r="GZ7" s="880"/>
      <c r="HA7" s="880"/>
      <c r="HB7" s="880"/>
      <c r="HC7" s="880"/>
      <c r="HD7" s="880"/>
      <c r="HE7" s="880"/>
      <c r="HF7" s="880"/>
      <c r="HG7" s="880"/>
      <c r="HH7" s="880"/>
      <c r="HI7" s="880"/>
      <c r="HJ7" s="880"/>
      <c r="HK7" s="880"/>
      <c r="HL7" s="880"/>
      <c r="HM7" s="880"/>
      <c r="HN7" s="880"/>
      <c r="HO7" s="880"/>
      <c r="HP7" s="880"/>
      <c r="HQ7" s="880"/>
      <c r="HR7" s="880"/>
      <c r="HS7" s="880"/>
      <c r="HT7" s="880"/>
      <c r="HU7" s="880"/>
      <c r="HV7" s="880"/>
      <c r="HW7" s="880"/>
      <c r="HX7" s="880"/>
      <c r="HY7" s="880"/>
      <c r="HZ7" s="880"/>
      <c r="IA7" s="880"/>
      <c r="IB7" s="880"/>
      <c r="IC7" s="880"/>
      <c r="ID7" s="880"/>
      <c r="IE7" s="880"/>
      <c r="IF7" s="880"/>
      <c r="IG7" s="880"/>
      <c r="IH7" s="880"/>
      <c r="II7" s="880"/>
      <c r="IJ7" s="880"/>
      <c r="IK7" s="880"/>
      <c r="IL7" s="880"/>
      <c r="IM7" s="880"/>
      <c r="IN7" s="880"/>
      <c r="IO7" s="880"/>
      <c r="IP7" s="880"/>
      <c r="IQ7" s="880"/>
      <c r="IR7" s="880"/>
      <c r="IS7" s="880"/>
      <c r="IT7" s="880"/>
      <c r="IU7" s="880"/>
      <c r="IV7" s="880"/>
      <c r="IW7" s="880"/>
      <c r="IX7" s="880"/>
      <c r="IY7" s="880"/>
      <c r="IZ7" s="880"/>
      <c r="JA7" s="880"/>
      <c r="JB7" s="880"/>
      <c r="JC7" s="880"/>
      <c r="JD7" s="880"/>
      <c r="JE7" s="880"/>
      <c r="JF7" s="880"/>
      <c r="JG7" s="880"/>
      <c r="JH7" s="880"/>
      <c r="JI7" s="880"/>
      <c r="JJ7" s="880"/>
      <c r="JK7" s="880"/>
      <c r="JL7" s="880"/>
      <c r="JM7" s="880"/>
      <c r="JN7" s="880"/>
      <c r="JO7" s="880"/>
      <c r="JP7" s="880"/>
      <c r="JQ7" s="880"/>
      <c r="JR7" s="880"/>
      <c r="JS7" s="880"/>
      <c r="JT7" s="880"/>
      <c r="JU7" s="880"/>
      <c r="JV7" s="880"/>
      <c r="JW7" s="880"/>
      <c r="JX7" s="880"/>
      <c r="JY7" s="880"/>
      <c r="JZ7" s="880"/>
      <c r="KA7" s="880"/>
      <c r="KB7" s="880"/>
      <c r="KC7" s="880"/>
      <c r="KD7" s="880"/>
      <c r="KE7" s="880"/>
      <c r="KF7" s="880"/>
      <c r="KG7" s="880"/>
      <c r="KH7" s="880"/>
      <c r="KI7" s="880"/>
      <c r="KJ7" s="880"/>
      <c r="KK7" s="880"/>
      <c r="KL7" s="880"/>
      <c r="KM7" s="880"/>
      <c r="KN7" s="880"/>
      <c r="KO7" s="880"/>
      <c r="KP7" s="880"/>
      <c r="KQ7" s="880"/>
      <c r="KR7" s="880"/>
      <c r="KS7" s="880"/>
      <c r="KT7" s="880"/>
      <c r="KU7" s="880"/>
      <c r="KV7" s="880"/>
      <c r="KW7" s="880"/>
      <c r="KX7" s="880"/>
      <c r="KY7" s="880"/>
      <c r="KZ7" s="880"/>
      <c r="LA7" s="880"/>
      <c r="LB7" s="880"/>
      <c r="LC7" s="880"/>
      <c r="LD7" s="880"/>
      <c r="LE7" s="880"/>
      <c r="LF7" s="880"/>
      <c r="LG7" s="880"/>
      <c r="LH7" s="880"/>
      <c r="LI7" s="880"/>
      <c r="LJ7" s="880"/>
      <c r="LK7" s="880"/>
      <c r="LL7" s="880"/>
      <c r="LM7" s="880"/>
      <c r="LN7" s="880"/>
      <c r="LO7" s="880"/>
      <c r="LP7" s="880"/>
      <c r="LQ7" s="880"/>
      <c r="LR7" s="880"/>
      <c r="LS7" s="880"/>
      <c r="LT7" s="880"/>
      <c r="LU7" s="880"/>
      <c r="LV7" s="880"/>
      <c r="LW7" s="880"/>
      <c r="LX7" s="880"/>
      <c r="LY7" s="880"/>
      <c r="LZ7" s="880"/>
      <c r="MA7" s="880"/>
      <c r="MB7" s="880"/>
      <c r="MC7" s="880"/>
      <c r="MD7" s="880"/>
      <c r="ME7" s="880"/>
      <c r="MF7" s="880"/>
      <c r="MG7" s="880"/>
      <c r="MH7" s="880"/>
      <c r="MI7" s="880"/>
      <c r="MJ7" s="880"/>
      <c r="MK7" s="880"/>
      <c r="ML7" s="880"/>
      <c r="MM7" s="880"/>
      <c r="MN7" s="880"/>
      <c r="MO7" s="880"/>
      <c r="MP7" s="880"/>
      <c r="MQ7" s="880"/>
      <c r="MR7" s="880"/>
      <c r="MS7" s="880"/>
      <c r="MT7" s="880"/>
      <c r="MU7" s="880"/>
      <c r="MV7" s="880"/>
      <c r="MW7" s="880"/>
      <c r="MX7" s="880"/>
      <c r="MY7" s="880"/>
      <c r="MZ7" s="880"/>
      <c r="NA7" s="880"/>
      <c r="NB7" s="880"/>
      <c r="NC7" s="880"/>
      <c r="ND7" s="880"/>
      <c r="NE7" s="880"/>
      <c r="NF7" s="880"/>
      <c r="NG7" s="880"/>
      <c r="NH7" s="880"/>
      <c r="NI7" s="880"/>
      <c r="NJ7" s="880"/>
      <c r="NK7" s="880"/>
      <c r="NL7" s="880"/>
      <c r="NM7" s="880"/>
      <c r="NN7" s="880"/>
      <c r="NO7" s="880"/>
      <c r="NP7" s="880"/>
      <c r="NQ7" s="880"/>
      <c r="NR7" s="880"/>
      <c r="NS7" s="880"/>
      <c r="NT7" s="880"/>
      <c r="NU7" s="880"/>
      <c r="NV7" s="880"/>
      <c r="NW7" s="880"/>
      <c r="NX7" s="880"/>
      <c r="NY7" s="880"/>
      <c r="NZ7" s="880"/>
      <c r="OA7" s="880"/>
      <c r="OB7" s="880"/>
      <c r="OC7" s="880"/>
      <c r="OD7" s="880"/>
      <c r="OE7" s="880"/>
      <c r="OF7" s="880"/>
      <c r="OG7" s="880"/>
      <c r="OH7" s="880"/>
      <c r="OI7" s="880"/>
      <c r="OJ7" s="880"/>
      <c r="OK7" s="880"/>
      <c r="OL7" s="880"/>
      <c r="OM7" s="880"/>
      <c r="ON7" s="880"/>
      <c r="OO7" s="880"/>
      <c r="OP7" s="880"/>
      <c r="OQ7" s="880"/>
      <c r="OR7" s="880"/>
      <c r="OS7" s="880"/>
      <c r="OT7" s="880"/>
      <c r="OU7" s="880"/>
      <c r="OV7" s="880"/>
      <c r="OW7" s="880"/>
      <c r="OX7" s="880"/>
      <c r="OY7" s="880"/>
      <c r="OZ7" s="880"/>
      <c r="PA7" s="880"/>
      <c r="PB7" s="880"/>
      <c r="PC7" s="880"/>
      <c r="PD7" s="880"/>
      <c r="PE7" s="880"/>
      <c r="PF7" s="880"/>
      <c r="PG7" s="880"/>
      <c r="PH7" s="880"/>
      <c r="PI7" s="880"/>
      <c r="PJ7" s="880"/>
      <c r="PK7" s="880"/>
      <c r="PL7" s="880"/>
      <c r="PM7" s="880"/>
      <c r="PN7" s="880"/>
      <c r="PO7" s="880"/>
      <c r="PP7" s="880"/>
      <c r="PQ7" s="880"/>
      <c r="PR7" s="880"/>
      <c r="PS7" s="880"/>
      <c r="PT7" s="880"/>
      <c r="PU7" s="880"/>
      <c r="PV7" s="880"/>
      <c r="PW7" s="880"/>
      <c r="PX7" s="880"/>
      <c r="PY7" s="880"/>
      <c r="PZ7" s="880"/>
      <c r="QA7" s="880"/>
      <c r="QB7" s="880"/>
      <c r="QC7" s="880"/>
      <c r="QD7" s="880"/>
      <c r="QE7" s="880"/>
      <c r="QF7" s="880"/>
      <c r="QG7" s="880"/>
      <c r="QH7" s="880"/>
      <c r="QI7" s="880"/>
      <c r="QJ7" s="880"/>
      <c r="QK7" s="880"/>
      <c r="QL7" s="880"/>
      <c r="QM7" s="880"/>
      <c r="QN7" s="880"/>
      <c r="QO7" s="880"/>
      <c r="QP7" s="880"/>
      <c r="QQ7" s="880"/>
      <c r="QR7" s="880"/>
      <c r="QS7" s="880"/>
      <c r="QT7" s="880"/>
      <c r="QU7" s="880"/>
      <c r="QV7" s="880"/>
      <c r="QW7" s="880"/>
      <c r="QX7" s="880"/>
      <c r="QY7" s="880"/>
      <c r="QZ7" s="880"/>
      <c r="RA7" s="880"/>
      <c r="RB7" s="880"/>
      <c r="RC7" s="880"/>
      <c r="RD7" s="880"/>
      <c r="RE7" s="880"/>
      <c r="RF7" s="880"/>
      <c r="RG7" s="880"/>
      <c r="RH7" s="880"/>
      <c r="RI7" s="880"/>
      <c r="RJ7" s="880"/>
      <c r="RK7" s="880"/>
      <c r="RL7" s="880"/>
      <c r="RM7" s="880"/>
      <c r="RN7" s="880"/>
      <c r="RO7" s="880"/>
      <c r="RP7" s="880"/>
      <c r="RQ7" s="880"/>
      <c r="RR7" s="880"/>
      <c r="RS7" s="880"/>
      <c r="RT7" s="880"/>
      <c r="RU7" s="880"/>
      <c r="RV7" s="880"/>
      <c r="RW7" s="880"/>
      <c r="RX7" s="880"/>
      <c r="RY7" s="880"/>
      <c r="RZ7" s="880"/>
      <c r="SA7" s="880"/>
      <c r="SB7" s="880"/>
      <c r="SC7" s="880"/>
      <c r="SD7" s="880"/>
      <c r="SE7" s="880"/>
      <c r="SF7" s="880"/>
      <c r="SG7" s="880"/>
      <c r="SH7" s="880"/>
      <c r="SI7" s="880"/>
      <c r="SJ7" s="880"/>
      <c r="SK7" s="880"/>
      <c r="SL7" s="880"/>
      <c r="SM7" s="880"/>
      <c r="SN7" s="880"/>
      <c r="SO7" s="880"/>
      <c r="SP7" s="880"/>
      <c r="SQ7" s="880"/>
      <c r="SR7" s="880"/>
      <c r="SS7" s="880"/>
      <c r="ST7" s="880"/>
      <c r="SU7" s="880"/>
      <c r="SV7" s="880"/>
      <c r="SW7" s="880"/>
      <c r="SX7" s="880"/>
      <c r="SY7" s="880"/>
      <c r="SZ7" s="880"/>
      <c r="TA7" s="880"/>
      <c r="TB7" s="880"/>
      <c r="TC7" s="880"/>
      <c r="TD7" s="880"/>
      <c r="TE7" s="880"/>
      <c r="TF7" s="880"/>
      <c r="TG7" s="880"/>
      <c r="TH7" s="880"/>
      <c r="TI7" s="880"/>
      <c r="TJ7" s="880"/>
      <c r="TK7" s="880"/>
      <c r="TL7" s="880"/>
      <c r="TM7" s="880"/>
      <c r="TN7" s="880"/>
      <c r="TO7" s="880"/>
      <c r="TP7" s="880"/>
      <c r="TQ7" s="880"/>
      <c r="TR7" s="880"/>
      <c r="TS7" s="880"/>
      <c r="TT7" s="880"/>
      <c r="TU7" s="880"/>
      <c r="TV7" s="880"/>
      <c r="TW7" s="880"/>
      <c r="TX7" s="880"/>
      <c r="TY7" s="880"/>
      <c r="TZ7" s="880"/>
      <c r="UA7" s="880"/>
      <c r="UB7" s="880"/>
      <c r="UC7" s="880"/>
      <c r="UD7" s="880"/>
      <c r="UE7" s="880"/>
      <c r="UF7" s="880"/>
      <c r="UG7" s="880"/>
      <c r="UH7" s="880"/>
      <c r="UI7" s="880"/>
      <c r="UJ7" s="880"/>
      <c r="UK7" s="880"/>
      <c r="UL7" s="880"/>
      <c r="UM7" s="880"/>
      <c r="UN7" s="880"/>
      <c r="UO7" s="880"/>
      <c r="UP7" s="880"/>
      <c r="UQ7" s="880"/>
      <c r="UR7" s="880"/>
      <c r="US7" s="880"/>
      <c r="UT7" s="880"/>
      <c r="UU7" s="880"/>
      <c r="UV7" s="880"/>
      <c r="UW7" s="880"/>
      <c r="UX7" s="880"/>
      <c r="UY7" s="880"/>
      <c r="UZ7" s="880"/>
      <c r="VA7" s="880"/>
      <c r="VB7" s="880"/>
      <c r="VC7" s="880"/>
      <c r="VD7" s="880"/>
      <c r="VE7" s="880"/>
      <c r="VF7" s="880"/>
      <c r="VG7" s="880"/>
      <c r="VH7" s="880"/>
      <c r="VI7" s="880"/>
      <c r="VJ7" s="880"/>
      <c r="VK7" s="880"/>
      <c r="VL7" s="880"/>
      <c r="VM7" s="880"/>
      <c r="VN7" s="880"/>
      <c r="VO7" s="880"/>
      <c r="VP7" s="880"/>
      <c r="VQ7" s="880"/>
      <c r="VR7" s="880"/>
      <c r="VS7" s="880"/>
      <c r="VT7" s="880"/>
      <c r="VU7" s="880"/>
      <c r="VV7" s="880"/>
      <c r="VW7" s="880"/>
      <c r="VX7" s="880"/>
      <c r="VY7" s="880"/>
      <c r="VZ7" s="880"/>
      <c r="WA7" s="880"/>
      <c r="WB7" s="880"/>
      <c r="WC7" s="880"/>
      <c r="WD7" s="880"/>
      <c r="WE7" s="880"/>
      <c r="WF7" s="880"/>
      <c r="WG7" s="880"/>
      <c r="WH7" s="880"/>
      <c r="WI7" s="880"/>
      <c r="WJ7" s="880"/>
      <c r="WK7" s="880"/>
      <c r="WL7" s="880"/>
      <c r="WM7" s="880"/>
      <c r="WN7" s="880"/>
      <c r="WO7" s="880"/>
      <c r="WP7" s="880"/>
      <c r="WQ7" s="880"/>
      <c r="WR7" s="880"/>
      <c r="WS7" s="880"/>
      <c r="WT7" s="880"/>
      <c r="WU7" s="880"/>
      <c r="WV7" s="880"/>
      <c r="WW7" s="880"/>
      <c r="WX7" s="880"/>
      <c r="WY7" s="880"/>
      <c r="WZ7" s="880"/>
      <c r="XA7" s="880"/>
      <c r="XB7" s="880"/>
      <c r="XC7" s="880"/>
      <c r="XD7" s="880"/>
      <c r="XE7" s="880"/>
      <c r="XF7" s="880"/>
      <c r="XG7" s="880"/>
      <c r="XH7" s="880"/>
      <c r="XI7" s="880"/>
      <c r="XJ7" s="880"/>
      <c r="XK7" s="880"/>
      <c r="XL7" s="880"/>
      <c r="XM7" s="880"/>
      <c r="XN7" s="880"/>
      <c r="XO7" s="880"/>
      <c r="XP7" s="880"/>
      <c r="XQ7" s="880"/>
      <c r="XR7" s="880"/>
      <c r="XS7" s="880"/>
      <c r="XT7" s="880"/>
      <c r="XU7" s="880"/>
      <c r="XV7" s="880"/>
      <c r="XW7" s="880"/>
      <c r="XX7" s="880"/>
      <c r="XY7" s="880"/>
      <c r="XZ7" s="880"/>
      <c r="YA7" s="880"/>
      <c r="YB7" s="880"/>
      <c r="YC7" s="880"/>
      <c r="YD7" s="880"/>
      <c r="YE7" s="880"/>
      <c r="YF7" s="880"/>
      <c r="YG7" s="880"/>
      <c r="YH7" s="880"/>
      <c r="YI7" s="880"/>
      <c r="YJ7" s="880"/>
      <c r="YK7" s="880"/>
      <c r="YL7" s="880"/>
      <c r="YM7" s="880"/>
      <c r="YN7" s="880"/>
      <c r="YO7" s="880"/>
      <c r="YP7" s="880"/>
      <c r="YQ7" s="880"/>
      <c r="YR7" s="880"/>
      <c r="YS7" s="880"/>
      <c r="YT7" s="880"/>
      <c r="YU7" s="880"/>
      <c r="YV7" s="880"/>
      <c r="YW7" s="880"/>
      <c r="YX7" s="880"/>
      <c r="YY7" s="880"/>
      <c r="YZ7" s="880"/>
      <c r="ZA7" s="880"/>
      <c r="ZB7" s="880"/>
      <c r="ZC7" s="880"/>
      <c r="ZD7" s="880"/>
      <c r="ZE7" s="880"/>
      <c r="ZF7" s="880"/>
      <c r="ZG7" s="880"/>
      <c r="ZH7" s="880"/>
      <c r="ZI7" s="880"/>
      <c r="ZJ7" s="880"/>
      <c r="ZK7" s="880"/>
      <c r="ZL7" s="880"/>
      <c r="ZM7" s="880"/>
      <c r="ZN7" s="880"/>
      <c r="ZO7" s="880"/>
      <c r="ZP7" s="880"/>
      <c r="ZQ7" s="880"/>
      <c r="ZR7" s="880"/>
      <c r="ZS7" s="880"/>
      <c r="ZT7" s="880"/>
      <c r="ZU7" s="880"/>
      <c r="ZV7" s="880"/>
      <c r="ZW7" s="880"/>
      <c r="ZX7" s="880"/>
      <c r="ZY7" s="880"/>
      <c r="ZZ7" s="880"/>
      <c r="AAA7" s="880"/>
      <c r="AAB7" s="880"/>
      <c r="AAC7" s="880"/>
      <c r="AAD7" s="880"/>
      <c r="AAE7" s="880"/>
      <c r="AAF7" s="880"/>
      <c r="AAG7" s="880"/>
      <c r="AAH7" s="880"/>
      <c r="AAI7" s="880"/>
      <c r="AAJ7" s="880"/>
      <c r="AAK7" s="880"/>
      <c r="AAL7" s="880"/>
      <c r="AAM7" s="880"/>
      <c r="AAN7" s="880"/>
      <c r="AAO7" s="880"/>
      <c r="AAP7" s="880"/>
      <c r="AAQ7" s="880"/>
      <c r="AAR7" s="880"/>
      <c r="AAS7" s="880"/>
      <c r="AAT7" s="880"/>
      <c r="AAU7" s="880"/>
      <c r="AAV7" s="880"/>
      <c r="AAW7" s="880"/>
      <c r="AAX7" s="880"/>
      <c r="AAY7" s="880"/>
      <c r="AAZ7" s="880"/>
      <c r="ABA7" s="880"/>
      <c r="ABB7" s="880"/>
      <c r="ABC7" s="880"/>
      <c r="ABD7" s="880"/>
      <c r="ABE7" s="880"/>
      <c r="ABF7" s="880"/>
      <c r="ABG7" s="880"/>
      <c r="ABH7" s="880"/>
      <c r="ABI7" s="880"/>
      <c r="ABJ7" s="880"/>
      <c r="ABK7" s="880"/>
      <c r="ABL7" s="880"/>
      <c r="ABM7" s="880"/>
      <c r="ABN7" s="880"/>
      <c r="ABO7" s="880"/>
      <c r="ABP7" s="880"/>
      <c r="ABQ7" s="880"/>
      <c r="ABR7" s="880"/>
      <c r="ABS7" s="880"/>
      <c r="ABT7" s="880"/>
      <c r="ABU7" s="880"/>
      <c r="ABV7" s="880"/>
      <c r="ABW7" s="880"/>
      <c r="ABX7" s="880"/>
      <c r="ABY7" s="880"/>
      <c r="ABZ7" s="880"/>
      <c r="ACA7" s="880"/>
      <c r="ACB7" s="880"/>
      <c r="ACC7" s="880"/>
      <c r="ACD7" s="880"/>
      <c r="ACE7" s="880"/>
      <c r="ACF7" s="880"/>
      <c r="ACG7" s="880"/>
      <c r="ACH7" s="880"/>
      <c r="ACI7" s="880"/>
      <c r="ACJ7" s="880"/>
      <c r="ACK7" s="880"/>
      <c r="ACL7" s="880"/>
      <c r="ACM7" s="880"/>
      <c r="ACN7" s="880"/>
      <c r="ACO7" s="880"/>
      <c r="ACP7" s="880"/>
      <c r="ACQ7" s="880"/>
      <c r="ACR7" s="880"/>
      <c r="ACS7" s="880"/>
      <c r="ACT7" s="880"/>
      <c r="ACU7" s="880"/>
      <c r="ACV7" s="880"/>
      <c r="ACW7" s="880"/>
      <c r="ACX7" s="880"/>
      <c r="ACY7" s="880"/>
      <c r="ACZ7" s="880"/>
      <c r="ADA7" s="880"/>
      <c r="ADB7" s="880"/>
      <c r="ADC7" s="880"/>
      <c r="ADD7" s="880"/>
      <c r="ADE7" s="880"/>
      <c r="ADF7" s="880"/>
      <c r="ADG7" s="880"/>
      <c r="ADH7" s="880"/>
      <c r="ADI7" s="880"/>
      <c r="ADJ7" s="880"/>
      <c r="ADK7" s="880"/>
      <c r="ADL7" s="880"/>
      <c r="ADM7" s="880"/>
      <c r="ADN7" s="880"/>
      <c r="ADO7" s="880"/>
      <c r="ADP7" s="880"/>
      <c r="ADQ7" s="880"/>
      <c r="ADR7" s="880"/>
      <c r="ADS7" s="880"/>
      <c r="ADT7" s="880"/>
      <c r="ADU7" s="880"/>
      <c r="ADV7" s="880"/>
      <c r="ADW7" s="880"/>
      <c r="ADX7" s="880"/>
      <c r="ADY7" s="880"/>
      <c r="ADZ7" s="880"/>
      <c r="AEA7" s="880"/>
      <c r="AEB7" s="880"/>
      <c r="AEC7" s="880"/>
      <c r="AED7" s="880"/>
      <c r="AEE7" s="880"/>
      <c r="AEF7" s="880"/>
      <c r="AEG7" s="880"/>
      <c r="AEH7" s="880"/>
      <c r="AEI7" s="880"/>
      <c r="AEJ7" s="880"/>
      <c r="AEK7" s="880"/>
      <c r="AEL7" s="880"/>
      <c r="AEM7" s="880"/>
      <c r="AEN7" s="880"/>
      <c r="AEO7" s="880"/>
      <c r="AEP7" s="880"/>
      <c r="AEQ7" s="880"/>
      <c r="AER7" s="880"/>
      <c r="AES7" s="880"/>
      <c r="AET7" s="880"/>
      <c r="AEU7" s="880"/>
      <c r="AEV7" s="880"/>
      <c r="AEW7" s="880"/>
      <c r="AEX7" s="880"/>
      <c r="AEY7" s="880"/>
      <c r="AEZ7" s="880"/>
      <c r="AFA7" s="880"/>
      <c r="AFB7" s="880"/>
      <c r="AFC7" s="880"/>
      <c r="AFD7" s="880"/>
      <c r="AFE7" s="880"/>
      <c r="AFF7" s="880"/>
      <c r="AFG7" s="880"/>
      <c r="AFH7" s="880"/>
      <c r="AFI7" s="880"/>
      <c r="AFJ7" s="880"/>
      <c r="AFK7" s="880"/>
      <c r="AFL7" s="880"/>
      <c r="AFM7" s="880"/>
      <c r="AFN7" s="880"/>
      <c r="AFO7" s="880"/>
      <c r="AFP7" s="880"/>
      <c r="AFQ7" s="880"/>
      <c r="AFR7" s="880"/>
      <c r="AFS7" s="880"/>
      <c r="AFT7" s="880"/>
      <c r="AFU7" s="880"/>
      <c r="AFV7" s="880"/>
      <c r="AFW7" s="880"/>
      <c r="AFX7" s="880"/>
      <c r="AFY7" s="880"/>
      <c r="AFZ7" s="880"/>
      <c r="AGA7" s="880"/>
      <c r="AGB7" s="880"/>
      <c r="AGC7" s="880"/>
      <c r="AGD7" s="880"/>
      <c r="AGE7" s="880"/>
      <c r="AGF7" s="880"/>
      <c r="AGG7" s="880"/>
      <c r="AGH7" s="880"/>
      <c r="AGI7" s="880"/>
      <c r="AGJ7" s="880"/>
      <c r="AGK7" s="880"/>
      <c r="AGL7" s="880"/>
      <c r="AGM7" s="880"/>
      <c r="AGN7" s="880"/>
      <c r="AGO7" s="880"/>
      <c r="AGP7" s="880"/>
      <c r="AGQ7" s="880"/>
      <c r="AGR7" s="880"/>
      <c r="AGS7" s="880"/>
      <c r="AGT7" s="880"/>
      <c r="AGU7" s="880"/>
      <c r="AGV7" s="880"/>
      <c r="AGW7" s="880"/>
      <c r="AGX7" s="880"/>
      <c r="AGY7" s="880"/>
      <c r="AGZ7" s="880"/>
      <c r="AHA7" s="880"/>
      <c r="AHB7" s="880"/>
      <c r="AHC7" s="880"/>
      <c r="AHD7" s="880"/>
      <c r="AHE7" s="880"/>
      <c r="AHF7" s="880"/>
      <c r="AHG7" s="880"/>
      <c r="AHH7" s="880"/>
      <c r="AHI7" s="880"/>
      <c r="AHJ7" s="880"/>
      <c r="AHK7" s="880"/>
      <c r="AHL7" s="880"/>
      <c r="AHM7" s="880"/>
      <c r="AHN7" s="880"/>
      <c r="AHO7" s="880"/>
      <c r="AHP7" s="880"/>
      <c r="AHQ7" s="880"/>
      <c r="AHR7" s="880"/>
      <c r="AHS7" s="880"/>
      <c r="AHT7" s="880"/>
      <c r="AHU7" s="880"/>
      <c r="AHV7" s="880"/>
      <c r="AHW7" s="880"/>
      <c r="AHX7" s="880"/>
      <c r="AHY7" s="880"/>
      <c r="AHZ7" s="880"/>
      <c r="AIA7" s="880"/>
      <c r="AIB7" s="880"/>
      <c r="AIC7" s="880"/>
      <c r="AID7" s="880"/>
      <c r="AIE7" s="880"/>
      <c r="AIF7" s="880"/>
      <c r="AIG7" s="880"/>
      <c r="AIH7" s="880"/>
      <c r="AII7" s="880"/>
      <c r="AIJ7" s="880"/>
      <c r="AIK7" s="880"/>
      <c r="AIL7" s="880"/>
      <c r="AIM7" s="880"/>
      <c r="AIN7" s="880"/>
      <c r="AIO7" s="880"/>
      <c r="AIP7" s="880"/>
      <c r="AIQ7" s="880"/>
      <c r="AIR7" s="880"/>
      <c r="AIS7" s="880"/>
      <c r="AIT7" s="880"/>
      <c r="AIU7" s="880"/>
      <c r="AIV7" s="880"/>
      <c r="AIW7" s="880"/>
      <c r="AIX7" s="880"/>
      <c r="AIY7" s="880"/>
      <c r="AIZ7" s="880"/>
      <c r="AJA7" s="880"/>
      <c r="AJB7" s="880"/>
      <c r="AJC7" s="880"/>
      <c r="AJD7" s="880"/>
      <c r="AJE7" s="880"/>
      <c r="AJF7" s="880"/>
      <c r="AJG7" s="880"/>
      <c r="AJH7" s="880"/>
      <c r="AJI7" s="880"/>
      <c r="AJJ7" s="880"/>
      <c r="AJK7" s="880"/>
      <c r="AJL7" s="880"/>
      <c r="AJM7" s="880"/>
      <c r="AJN7" s="880"/>
      <c r="AJO7" s="880"/>
      <c r="AJP7" s="880"/>
      <c r="AJQ7" s="880"/>
      <c r="AJR7" s="880"/>
      <c r="AJS7" s="880"/>
      <c r="AJT7" s="880"/>
      <c r="AJU7" s="880"/>
      <c r="AJV7" s="880"/>
      <c r="AJW7" s="880"/>
      <c r="AJX7" s="880"/>
      <c r="AJY7" s="880"/>
      <c r="AJZ7" s="880"/>
      <c r="AKA7" s="880"/>
      <c r="AKB7" s="880"/>
      <c r="AKC7" s="880"/>
      <c r="AKD7" s="880"/>
      <c r="AKE7" s="880"/>
      <c r="AKF7" s="880"/>
      <c r="AKG7" s="880"/>
      <c r="AKH7" s="880"/>
      <c r="AKI7" s="880"/>
      <c r="AKJ7" s="880"/>
      <c r="AKK7" s="880"/>
      <c r="AKL7" s="880"/>
      <c r="AKM7" s="880"/>
      <c r="AKN7" s="880"/>
      <c r="AKO7" s="880"/>
      <c r="AKP7" s="880"/>
      <c r="AKQ7" s="880"/>
      <c r="AKR7" s="880"/>
      <c r="AKS7" s="880"/>
      <c r="AKT7" s="880"/>
      <c r="AKU7" s="880"/>
      <c r="AKV7" s="880"/>
      <c r="AKW7" s="880"/>
    </row>
    <row r="8" spans="1:985" ht="21" customHeight="1" x14ac:dyDescent="0.3">
      <c r="A8" s="1111" t="s">
        <v>54</v>
      </c>
      <c r="B8" s="1111"/>
      <c r="C8" s="1089"/>
      <c r="D8" s="1090"/>
      <c r="E8" s="294"/>
      <c r="F8" s="1086" t="s">
        <v>55</v>
      </c>
      <c r="G8" s="1087"/>
      <c r="H8" s="1088"/>
      <c r="I8" s="1081" t="e">
        <f>IF($L$8=0,VLOOKUP($C$10,'Pile Data'!$E$3:$J$34,4,FALSE)-IF($C$17=0,0,$C$17),$L$8-IF($C$17=0,0,$C$17))</f>
        <v>#N/A</v>
      </c>
      <c r="J8" s="1081"/>
      <c r="K8" s="447"/>
      <c r="L8" s="1062"/>
      <c r="M8" s="1063"/>
      <c r="N8" s="880"/>
      <c r="O8" s="1093"/>
      <c r="P8" s="1094"/>
      <c r="Q8" s="1094"/>
      <c r="R8" s="452"/>
      <c r="S8" s="1099"/>
      <c r="T8" s="1099"/>
      <c r="U8" s="1099"/>
      <c r="V8" s="1099"/>
      <c r="W8" s="1099"/>
      <c r="X8" s="880"/>
      <c r="Y8" s="880"/>
      <c r="Z8" s="880"/>
      <c r="AA8" s="880"/>
      <c r="AB8" s="880"/>
      <c r="AC8" s="880"/>
      <c r="AD8" s="880"/>
      <c r="AE8" s="880"/>
      <c r="AF8" s="880"/>
      <c r="AG8" s="880"/>
      <c r="AH8" s="880"/>
      <c r="AI8" s="880"/>
      <c r="AJ8" s="880"/>
      <c r="AK8" s="880"/>
      <c r="AL8" s="880"/>
      <c r="AM8" s="880"/>
      <c r="AN8" s="880"/>
      <c r="AO8" s="880"/>
      <c r="AP8" s="880"/>
      <c r="AQ8" s="880"/>
      <c r="AR8" s="880"/>
      <c r="AS8" s="880"/>
      <c r="AT8" s="880"/>
      <c r="AU8" s="880"/>
      <c r="AV8" s="880"/>
      <c r="AW8" s="880"/>
      <c r="AX8" s="880"/>
      <c r="AY8" s="880"/>
      <c r="AZ8" s="880"/>
      <c r="BA8" s="880"/>
      <c r="BB8" s="880"/>
      <c r="BC8" s="880"/>
      <c r="BD8" s="880"/>
      <c r="BE8" s="880"/>
      <c r="BF8" s="880"/>
      <c r="BG8" s="880"/>
      <c r="BH8" s="880"/>
      <c r="BI8" s="880"/>
      <c r="BJ8" s="880"/>
      <c r="BK8" s="880"/>
      <c r="BL8" s="880"/>
      <c r="BM8" s="880"/>
      <c r="BN8" s="880"/>
      <c r="BO8" s="880"/>
      <c r="BP8" s="880"/>
      <c r="BQ8" s="880"/>
      <c r="BR8" s="880"/>
      <c r="BS8" s="880"/>
      <c r="BT8" s="880"/>
      <c r="BU8" s="880"/>
      <c r="BV8" s="880"/>
      <c r="BW8" s="880"/>
      <c r="BX8" s="880"/>
      <c r="BY8" s="880"/>
      <c r="BZ8" s="880"/>
      <c r="CA8" s="880"/>
      <c r="CB8" s="880"/>
      <c r="CC8" s="880"/>
      <c r="CD8" s="880"/>
      <c r="CE8" s="880"/>
      <c r="CF8" s="880"/>
      <c r="CG8" s="880"/>
      <c r="CH8" s="880"/>
      <c r="CI8" s="880"/>
      <c r="CJ8" s="880"/>
      <c r="CK8" s="880"/>
      <c r="CL8" s="880"/>
      <c r="CM8" s="880"/>
      <c r="CN8" s="880"/>
      <c r="CO8" s="880"/>
      <c r="CP8" s="880"/>
      <c r="CQ8" s="880"/>
      <c r="CR8" s="880"/>
      <c r="CS8" s="880"/>
      <c r="CT8" s="880"/>
      <c r="CU8" s="880"/>
      <c r="CV8" s="880"/>
      <c r="CW8" s="880"/>
      <c r="CX8" s="880"/>
      <c r="CY8" s="880"/>
      <c r="CZ8" s="880"/>
      <c r="DA8" s="880"/>
      <c r="DB8" s="880"/>
      <c r="DC8" s="880"/>
      <c r="DD8" s="880"/>
      <c r="DE8" s="880"/>
      <c r="DF8" s="880"/>
      <c r="DG8" s="880"/>
      <c r="DH8" s="880"/>
      <c r="DI8" s="880"/>
      <c r="DJ8" s="880"/>
      <c r="DK8" s="880"/>
      <c r="DL8" s="880"/>
      <c r="DM8" s="880"/>
      <c r="DN8" s="880"/>
      <c r="DO8" s="880"/>
      <c r="DP8" s="880"/>
      <c r="DQ8" s="880"/>
      <c r="DR8" s="880"/>
      <c r="DS8" s="880"/>
      <c r="DT8" s="880"/>
      <c r="DU8" s="880"/>
      <c r="DV8" s="880"/>
      <c r="DW8" s="880"/>
      <c r="DX8" s="880"/>
      <c r="DY8" s="880"/>
      <c r="DZ8" s="880"/>
      <c r="EA8" s="880"/>
      <c r="EB8" s="880"/>
      <c r="EC8" s="880"/>
      <c r="ED8" s="880"/>
      <c r="EE8" s="880"/>
      <c r="EF8" s="880"/>
      <c r="EG8" s="880"/>
      <c r="EH8" s="880"/>
      <c r="EI8" s="880"/>
      <c r="EJ8" s="880"/>
      <c r="EK8" s="880"/>
      <c r="EL8" s="880"/>
      <c r="EM8" s="880"/>
      <c r="EN8" s="880"/>
      <c r="EO8" s="880"/>
      <c r="EP8" s="880"/>
      <c r="EQ8" s="880"/>
      <c r="ER8" s="880"/>
      <c r="ES8" s="880"/>
      <c r="ET8" s="880"/>
      <c r="EU8" s="880"/>
      <c r="EV8" s="880"/>
      <c r="EW8" s="880"/>
      <c r="EX8" s="880"/>
      <c r="EY8" s="880"/>
      <c r="EZ8" s="880"/>
      <c r="FA8" s="880"/>
      <c r="FB8" s="880"/>
      <c r="FC8" s="880"/>
      <c r="FD8" s="880"/>
      <c r="FE8" s="880"/>
      <c r="FF8" s="880"/>
      <c r="FG8" s="880"/>
      <c r="FH8" s="880"/>
      <c r="FI8" s="880"/>
      <c r="FJ8" s="880"/>
      <c r="FK8" s="880"/>
      <c r="FL8" s="880"/>
      <c r="FM8" s="880"/>
      <c r="FN8" s="880"/>
      <c r="FO8" s="880"/>
      <c r="FP8" s="880"/>
      <c r="FQ8" s="880"/>
      <c r="FR8" s="880"/>
      <c r="FS8" s="880"/>
      <c r="FT8" s="880"/>
      <c r="FU8" s="880"/>
      <c r="FV8" s="880"/>
      <c r="FW8" s="880"/>
      <c r="FX8" s="880"/>
      <c r="FY8" s="880"/>
      <c r="FZ8" s="880"/>
      <c r="GA8" s="880"/>
      <c r="GB8" s="880"/>
      <c r="GC8" s="880"/>
      <c r="GD8" s="880"/>
      <c r="GE8" s="880"/>
      <c r="GF8" s="880"/>
      <c r="GG8" s="880"/>
      <c r="GH8" s="880"/>
      <c r="GI8" s="880"/>
      <c r="GJ8" s="880"/>
      <c r="GK8" s="880"/>
      <c r="GL8" s="880"/>
      <c r="GM8" s="880"/>
      <c r="GN8" s="880"/>
      <c r="GO8" s="880"/>
      <c r="GP8" s="880"/>
      <c r="GQ8" s="880"/>
      <c r="GR8" s="880"/>
      <c r="GS8" s="880"/>
      <c r="GT8" s="880"/>
      <c r="GU8" s="880"/>
      <c r="GV8" s="880"/>
      <c r="GW8" s="880"/>
      <c r="GX8" s="880"/>
      <c r="GY8" s="880"/>
      <c r="GZ8" s="880"/>
      <c r="HA8" s="880"/>
      <c r="HB8" s="880"/>
      <c r="HC8" s="880"/>
      <c r="HD8" s="880"/>
      <c r="HE8" s="880"/>
      <c r="HF8" s="880"/>
      <c r="HG8" s="880"/>
      <c r="HH8" s="880"/>
      <c r="HI8" s="880"/>
      <c r="HJ8" s="880"/>
      <c r="HK8" s="880"/>
      <c r="HL8" s="880"/>
      <c r="HM8" s="880"/>
      <c r="HN8" s="880"/>
      <c r="HO8" s="880"/>
      <c r="HP8" s="880"/>
      <c r="HQ8" s="880"/>
      <c r="HR8" s="880"/>
      <c r="HS8" s="880"/>
      <c r="HT8" s="880"/>
      <c r="HU8" s="880"/>
      <c r="HV8" s="880"/>
      <c r="HW8" s="880"/>
      <c r="HX8" s="880"/>
      <c r="HY8" s="880"/>
      <c r="HZ8" s="880"/>
      <c r="IA8" s="880"/>
      <c r="IB8" s="880"/>
      <c r="IC8" s="880"/>
      <c r="ID8" s="880"/>
      <c r="IE8" s="880"/>
      <c r="IF8" s="880"/>
      <c r="IG8" s="880"/>
      <c r="IH8" s="880"/>
      <c r="II8" s="880"/>
      <c r="IJ8" s="880"/>
      <c r="IK8" s="880"/>
      <c r="IL8" s="880"/>
      <c r="IM8" s="880"/>
      <c r="IN8" s="880"/>
      <c r="IO8" s="880"/>
      <c r="IP8" s="880"/>
      <c r="IQ8" s="880"/>
      <c r="IR8" s="880"/>
      <c r="IS8" s="880"/>
      <c r="IT8" s="880"/>
      <c r="IU8" s="880"/>
      <c r="IV8" s="880"/>
      <c r="IW8" s="880"/>
      <c r="IX8" s="880"/>
      <c r="IY8" s="880"/>
      <c r="IZ8" s="880"/>
      <c r="JA8" s="880"/>
      <c r="JB8" s="880"/>
      <c r="JC8" s="880"/>
      <c r="JD8" s="880"/>
      <c r="JE8" s="880"/>
      <c r="JF8" s="880"/>
      <c r="JG8" s="880"/>
      <c r="JH8" s="880"/>
      <c r="JI8" s="880"/>
      <c r="JJ8" s="880"/>
      <c r="JK8" s="880"/>
      <c r="JL8" s="880"/>
      <c r="JM8" s="880"/>
      <c r="JN8" s="880"/>
      <c r="JO8" s="880"/>
      <c r="JP8" s="880"/>
      <c r="JQ8" s="880"/>
      <c r="JR8" s="880"/>
      <c r="JS8" s="880"/>
      <c r="JT8" s="880"/>
      <c r="JU8" s="880"/>
      <c r="JV8" s="880"/>
      <c r="JW8" s="880"/>
      <c r="JX8" s="880"/>
      <c r="JY8" s="880"/>
      <c r="JZ8" s="880"/>
      <c r="KA8" s="880"/>
      <c r="KB8" s="880"/>
      <c r="KC8" s="880"/>
      <c r="KD8" s="880"/>
      <c r="KE8" s="880"/>
      <c r="KF8" s="880"/>
      <c r="KG8" s="880"/>
      <c r="KH8" s="880"/>
      <c r="KI8" s="880"/>
      <c r="KJ8" s="880"/>
      <c r="KK8" s="880"/>
      <c r="KL8" s="880"/>
      <c r="KM8" s="880"/>
      <c r="KN8" s="880"/>
      <c r="KO8" s="880"/>
      <c r="KP8" s="880"/>
      <c r="KQ8" s="880"/>
      <c r="KR8" s="880"/>
      <c r="KS8" s="880"/>
      <c r="KT8" s="880"/>
      <c r="KU8" s="880"/>
      <c r="KV8" s="880"/>
      <c r="KW8" s="880"/>
      <c r="KX8" s="880"/>
      <c r="KY8" s="880"/>
      <c r="KZ8" s="880"/>
      <c r="LA8" s="880"/>
      <c r="LB8" s="880"/>
      <c r="LC8" s="880"/>
      <c r="LD8" s="880"/>
      <c r="LE8" s="880"/>
      <c r="LF8" s="880"/>
      <c r="LG8" s="880"/>
      <c r="LH8" s="880"/>
      <c r="LI8" s="880"/>
      <c r="LJ8" s="880"/>
      <c r="LK8" s="880"/>
      <c r="LL8" s="880"/>
      <c r="LM8" s="880"/>
      <c r="LN8" s="880"/>
      <c r="LO8" s="880"/>
      <c r="LP8" s="880"/>
      <c r="LQ8" s="880"/>
      <c r="LR8" s="880"/>
      <c r="LS8" s="880"/>
      <c r="LT8" s="880"/>
      <c r="LU8" s="880"/>
      <c r="LV8" s="880"/>
      <c r="LW8" s="880"/>
      <c r="LX8" s="880"/>
      <c r="LY8" s="880"/>
      <c r="LZ8" s="880"/>
      <c r="MA8" s="880"/>
      <c r="MB8" s="880"/>
      <c r="MC8" s="880"/>
      <c r="MD8" s="880"/>
      <c r="ME8" s="880"/>
      <c r="MF8" s="880"/>
      <c r="MG8" s="880"/>
      <c r="MH8" s="880"/>
      <c r="MI8" s="880"/>
      <c r="MJ8" s="880"/>
      <c r="MK8" s="880"/>
      <c r="ML8" s="880"/>
      <c r="MM8" s="880"/>
      <c r="MN8" s="880"/>
      <c r="MO8" s="880"/>
      <c r="MP8" s="880"/>
      <c r="MQ8" s="880"/>
      <c r="MR8" s="880"/>
      <c r="MS8" s="880"/>
      <c r="MT8" s="880"/>
      <c r="MU8" s="880"/>
      <c r="MV8" s="880"/>
      <c r="MW8" s="880"/>
      <c r="MX8" s="880"/>
      <c r="MY8" s="880"/>
      <c r="MZ8" s="880"/>
      <c r="NA8" s="880"/>
      <c r="NB8" s="880"/>
      <c r="NC8" s="880"/>
      <c r="ND8" s="880"/>
      <c r="NE8" s="880"/>
      <c r="NF8" s="880"/>
      <c r="NG8" s="880"/>
      <c r="NH8" s="880"/>
      <c r="NI8" s="880"/>
      <c r="NJ8" s="880"/>
      <c r="NK8" s="880"/>
      <c r="NL8" s="880"/>
      <c r="NM8" s="880"/>
      <c r="NN8" s="880"/>
      <c r="NO8" s="880"/>
      <c r="NP8" s="880"/>
      <c r="NQ8" s="880"/>
      <c r="NR8" s="880"/>
      <c r="NS8" s="880"/>
      <c r="NT8" s="880"/>
      <c r="NU8" s="880"/>
      <c r="NV8" s="880"/>
      <c r="NW8" s="880"/>
      <c r="NX8" s="880"/>
      <c r="NY8" s="880"/>
      <c r="NZ8" s="880"/>
      <c r="OA8" s="880"/>
      <c r="OB8" s="880"/>
      <c r="OC8" s="880"/>
      <c r="OD8" s="880"/>
      <c r="OE8" s="880"/>
      <c r="OF8" s="880"/>
      <c r="OG8" s="880"/>
      <c r="OH8" s="880"/>
      <c r="OI8" s="880"/>
      <c r="OJ8" s="880"/>
      <c r="OK8" s="880"/>
      <c r="OL8" s="880"/>
      <c r="OM8" s="880"/>
      <c r="ON8" s="880"/>
      <c r="OO8" s="880"/>
      <c r="OP8" s="880"/>
      <c r="OQ8" s="880"/>
      <c r="OR8" s="880"/>
      <c r="OS8" s="880"/>
      <c r="OT8" s="880"/>
      <c r="OU8" s="880"/>
      <c r="OV8" s="880"/>
      <c r="OW8" s="880"/>
      <c r="OX8" s="880"/>
      <c r="OY8" s="880"/>
      <c r="OZ8" s="880"/>
      <c r="PA8" s="880"/>
      <c r="PB8" s="880"/>
      <c r="PC8" s="880"/>
      <c r="PD8" s="880"/>
      <c r="PE8" s="880"/>
      <c r="PF8" s="880"/>
      <c r="PG8" s="880"/>
      <c r="PH8" s="880"/>
      <c r="PI8" s="880"/>
      <c r="PJ8" s="880"/>
      <c r="PK8" s="880"/>
      <c r="PL8" s="880"/>
      <c r="PM8" s="880"/>
      <c r="PN8" s="880"/>
      <c r="PO8" s="880"/>
      <c r="PP8" s="880"/>
      <c r="PQ8" s="880"/>
      <c r="PR8" s="880"/>
      <c r="PS8" s="880"/>
      <c r="PT8" s="880"/>
      <c r="PU8" s="880"/>
      <c r="PV8" s="880"/>
      <c r="PW8" s="880"/>
      <c r="PX8" s="880"/>
      <c r="PY8" s="880"/>
      <c r="PZ8" s="880"/>
      <c r="QA8" s="880"/>
      <c r="QB8" s="880"/>
      <c r="QC8" s="880"/>
      <c r="QD8" s="880"/>
      <c r="QE8" s="880"/>
      <c r="QF8" s="880"/>
      <c r="QG8" s="880"/>
      <c r="QH8" s="880"/>
      <c r="QI8" s="880"/>
      <c r="QJ8" s="880"/>
      <c r="QK8" s="880"/>
      <c r="QL8" s="880"/>
      <c r="QM8" s="880"/>
      <c r="QN8" s="880"/>
      <c r="QO8" s="880"/>
      <c r="QP8" s="880"/>
      <c r="QQ8" s="880"/>
      <c r="QR8" s="880"/>
      <c r="QS8" s="880"/>
      <c r="QT8" s="880"/>
      <c r="QU8" s="880"/>
      <c r="QV8" s="880"/>
      <c r="QW8" s="880"/>
      <c r="QX8" s="880"/>
      <c r="QY8" s="880"/>
      <c r="QZ8" s="880"/>
      <c r="RA8" s="880"/>
      <c r="RB8" s="880"/>
      <c r="RC8" s="880"/>
      <c r="RD8" s="880"/>
      <c r="RE8" s="880"/>
      <c r="RF8" s="880"/>
      <c r="RG8" s="880"/>
      <c r="RH8" s="880"/>
      <c r="RI8" s="880"/>
      <c r="RJ8" s="880"/>
      <c r="RK8" s="880"/>
      <c r="RL8" s="880"/>
      <c r="RM8" s="880"/>
      <c r="RN8" s="880"/>
      <c r="RO8" s="880"/>
      <c r="RP8" s="880"/>
      <c r="RQ8" s="880"/>
      <c r="RR8" s="880"/>
      <c r="RS8" s="880"/>
      <c r="RT8" s="880"/>
      <c r="RU8" s="880"/>
      <c r="RV8" s="880"/>
      <c r="RW8" s="880"/>
      <c r="RX8" s="880"/>
      <c r="RY8" s="880"/>
      <c r="RZ8" s="880"/>
      <c r="SA8" s="880"/>
      <c r="SB8" s="880"/>
      <c r="SC8" s="880"/>
      <c r="SD8" s="880"/>
      <c r="SE8" s="880"/>
      <c r="SF8" s="880"/>
      <c r="SG8" s="880"/>
      <c r="SH8" s="880"/>
      <c r="SI8" s="880"/>
      <c r="SJ8" s="880"/>
      <c r="SK8" s="880"/>
      <c r="SL8" s="880"/>
      <c r="SM8" s="880"/>
      <c r="SN8" s="880"/>
      <c r="SO8" s="880"/>
      <c r="SP8" s="880"/>
      <c r="SQ8" s="880"/>
      <c r="SR8" s="880"/>
      <c r="SS8" s="880"/>
      <c r="ST8" s="880"/>
      <c r="SU8" s="880"/>
      <c r="SV8" s="880"/>
      <c r="SW8" s="880"/>
      <c r="SX8" s="880"/>
      <c r="SY8" s="880"/>
      <c r="SZ8" s="880"/>
      <c r="TA8" s="880"/>
      <c r="TB8" s="880"/>
      <c r="TC8" s="880"/>
      <c r="TD8" s="880"/>
      <c r="TE8" s="880"/>
      <c r="TF8" s="880"/>
      <c r="TG8" s="880"/>
      <c r="TH8" s="880"/>
      <c r="TI8" s="880"/>
      <c r="TJ8" s="880"/>
      <c r="TK8" s="880"/>
      <c r="TL8" s="880"/>
      <c r="TM8" s="880"/>
      <c r="TN8" s="880"/>
      <c r="TO8" s="880"/>
      <c r="TP8" s="880"/>
      <c r="TQ8" s="880"/>
      <c r="TR8" s="880"/>
      <c r="TS8" s="880"/>
      <c r="TT8" s="880"/>
      <c r="TU8" s="880"/>
      <c r="TV8" s="880"/>
      <c r="TW8" s="880"/>
      <c r="TX8" s="880"/>
      <c r="TY8" s="880"/>
      <c r="TZ8" s="880"/>
      <c r="UA8" s="880"/>
      <c r="UB8" s="880"/>
      <c r="UC8" s="880"/>
      <c r="UD8" s="880"/>
      <c r="UE8" s="880"/>
      <c r="UF8" s="880"/>
      <c r="UG8" s="880"/>
      <c r="UH8" s="880"/>
      <c r="UI8" s="880"/>
      <c r="UJ8" s="880"/>
      <c r="UK8" s="880"/>
      <c r="UL8" s="880"/>
      <c r="UM8" s="880"/>
      <c r="UN8" s="880"/>
      <c r="UO8" s="880"/>
      <c r="UP8" s="880"/>
      <c r="UQ8" s="880"/>
      <c r="UR8" s="880"/>
      <c r="US8" s="880"/>
      <c r="UT8" s="880"/>
      <c r="UU8" s="880"/>
      <c r="UV8" s="880"/>
      <c r="UW8" s="880"/>
      <c r="UX8" s="880"/>
      <c r="UY8" s="880"/>
      <c r="UZ8" s="880"/>
      <c r="VA8" s="880"/>
      <c r="VB8" s="880"/>
      <c r="VC8" s="880"/>
      <c r="VD8" s="880"/>
      <c r="VE8" s="880"/>
      <c r="VF8" s="880"/>
      <c r="VG8" s="880"/>
      <c r="VH8" s="880"/>
      <c r="VI8" s="880"/>
      <c r="VJ8" s="880"/>
      <c r="VK8" s="880"/>
      <c r="VL8" s="880"/>
      <c r="VM8" s="880"/>
      <c r="VN8" s="880"/>
      <c r="VO8" s="880"/>
      <c r="VP8" s="880"/>
      <c r="VQ8" s="880"/>
      <c r="VR8" s="880"/>
      <c r="VS8" s="880"/>
      <c r="VT8" s="880"/>
      <c r="VU8" s="880"/>
      <c r="VV8" s="880"/>
      <c r="VW8" s="880"/>
      <c r="VX8" s="880"/>
      <c r="VY8" s="880"/>
      <c r="VZ8" s="880"/>
      <c r="WA8" s="880"/>
      <c r="WB8" s="880"/>
      <c r="WC8" s="880"/>
      <c r="WD8" s="880"/>
      <c r="WE8" s="880"/>
      <c r="WF8" s="880"/>
      <c r="WG8" s="880"/>
      <c r="WH8" s="880"/>
      <c r="WI8" s="880"/>
      <c r="WJ8" s="880"/>
      <c r="WK8" s="880"/>
      <c r="WL8" s="880"/>
      <c r="WM8" s="880"/>
      <c r="WN8" s="880"/>
      <c r="WO8" s="880"/>
      <c r="WP8" s="880"/>
      <c r="WQ8" s="880"/>
      <c r="WR8" s="880"/>
      <c r="WS8" s="880"/>
      <c r="WT8" s="880"/>
      <c r="WU8" s="880"/>
      <c r="WV8" s="880"/>
      <c r="WW8" s="880"/>
      <c r="WX8" s="880"/>
      <c r="WY8" s="880"/>
      <c r="WZ8" s="880"/>
      <c r="XA8" s="880"/>
      <c r="XB8" s="880"/>
      <c r="XC8" s="880"/>
      <c r="XD8" s="880"/>
      <c r="XE8" s="880"/>
      <c r="XF8" s="880"/>
      <c r="XG8" s="880"/>
      <c r="XH8" s="880"/>
      <c r="XI8" s="880"/>
      <c r="XJ8" s="880"/>
      <c r="XK8" s="880"/>
      <c r="XL8" s="880"/>
      <c r="XM8" s="880"/>
      <c r="XN8" s="880"/>
      <c r="XO8" s="880"/>
      <c r="XP8" s="880"/>
      <c r="XQ8" s="880"/>
      <c r="XR8" s="880"/>
      <c r="XS8" s="880"/>
      <c r="XT8" s="880"/>
      <c r="XU8" s="880"/>
      <c r="XV8" s="880"/>
      <c r="XW8" s="880"/>
      <c r="XX8" s="880"/>
      <c r="XY8" s="880"/>
      <c r="XZ8" s="880"/>
      <c r="YA8" s="880"/>
      <c r="YB8" s="880"/>
      <c r="YC8" s="880"/>
      <c r="YD8" s="880"/>
      <c r="YE8" s="880"/>
      <c r="YF8" s="880"/>
      <c r="YG8" s="880"/>
      <c r="YH8" s="880"/>
      <c r="YI8" s="880"/>
      <c r="YJ8" s="880"/>
      <c r="YK8" s="880"/>
      <c r="YL8" s="880"/>
      <c r="YM8" s="880"/>
      <c r="YN8" s="880"/>
      <c r="YO8" s="880"/>
      <c r="YP8" s="880"/>
      <c r="YQ8" s="880"/>
      <c r="YR8" s="880"/>
      <c r="YS8" s="880"/>
      <c r="YT8" s="880"/>
      <c r="YU8" s="880"/>
      <c r="YV8" s="880"/>
      <c r="YW8" s="880"/>
      <c r="YX8" s="880"/>
      <c r="YY8" s="880"/>
      <c r="YZ8" s="880"/>
      <c r="ZA8" s="880"/>
      <c r="ZB8" s="880"/>
      <c r="ZC8" s="880"/>
      <c r="ZD8" s="880"/>
      <c r="ZE8" s="880"/>
      <c r="ZF8" s="880"/>
      <c r="ZG8" s="880"/>
      <c r="ZH8" s="880"/>
      <c r="ZI8" s="880"/>
      <c r="ZJ8" s="880"/>
      <c r="ZK8" s="880"/>
      <c r="ZL8" s="880"/>
      <c r="ZM8" s="880"/>
      <c r="ZN8" s="880"/>
      <c r="ZO8" s="880"/>
      <c r="ZP8" s="880"/>
      <c r="ZQ8" s="880"/>
      <c r="ZR8" s="880"/>
      <c r="ZS8" s="880"/>
      <c r="ZT8" s="880"/>
      <c r="ZU8" s="880"/>
      <c r="ZV8" s="880"/>
      <c r="ZW8" s="880"/>
      <c r="ZX8" s="880"/>
      <c r="ZY8" s="880"/>
      <c r="ZZ8" s="880"/>
      <c r="AAA8" s="880"/>
      <c r="AAB8" s="880"/>
      <c r="AAC8" s="880"/>
      <c r="AAD8" s="880"/>
      <c r="AAE8" s="880"/>
      <c r="AAF8" s="880"/>
      <c r="AAG8" s="880"/>
      <c r="AAH8" s="880"/>
      <c r="AAI8" s="880"/>
      <c r="AAJ8" s="880"/>
      <c r="AAK8" s="880"/>
      <c r="AAL8" s="880"/>
      <c r="AAM8" s="880"/>
      <c r="AAN8" s="880"/>
      <c r="AAO8" s="880"/>
      <c r="AAP8" s="880"/>
      <c r="AAQ8" s="880"/>
      <c r="AAR8" s="880"/>
      <c r="AAS8" s="880"/>
      <c r="AAT8" s="880"/>
      <c r="AAU8" s="880"/>
      <c r="AAV8" s="880"/>
      <c r="AAW8" s="880"/>
      <c r="AAX8" s="880"/>
      <c r="AAY8" s="880"/>
      <c r="AAZ8" s="880"/>
      <c r="ABA8" s="880"/>
      <c r="ABB8" s="880"/>
      <c r="ABC8" s="880"/>
      <c r="ABD8" s="880"/>
      <c r="ABE8" s="880"/>
      <c r="ABF8" s="880"/>
      <c r="ABG8" s="880"/>
      <c r="ABH8" s="880"/>
      <c r="ABI8" s="880"/>
      <c r="ABJ8" s="880"/>
      <c r="ABK8" s="880"/>
      <c r="ABL8" s="880"/>
      <c r="ABM8" s="880"/>
      <c r="ABN8" s="880"/>
      <c r="ABO8" s="880"/>
      <c r="ABP8" s="880"/>
      <c r="ABQ8" s="880"/>
      <c r="ABR8" s="880"/>
      <c r="ABS8" s="880"/>
      <c r="ABT8" s="880"/>
      <c r="ABU8" s="880"/>
      <c r="ABV8" s="880"/>
      <c r="ABW8" s="880"/>
      <c r="ABX8" s="880"/>
      <c r="ABY8" s="880"/>
      <c r="ABZ8" s="880"/>
      <c r="ACA8" s="880"/>
      <c r="ACB8" s="880"/>
      <c r="ACC8" s="880"/>
      <c r="ACD8" s="880"/>
      <c r="ACE8" s="880"/>
      <c r="ACF8" s="880"/>
      <c r="ACG8" s="880"/>
      <c r="ACH8" s="880"/>
      <c r="ACI8" s="880"/>
      <c r="ACJ8" s="880"/>
      <c r="ACK8" s="880"/>
      <c r="ACL8" s="880"/>
      <c r="ACM8" s="880"/>
      <c r="ACN8" s="880"/>
      <c r="ACO8" s="880"/>
      <c r="ACP8" s="880"/>
      <c r="ACQ8" s="880"/>
      <c r="ACR8" s="880"/>
      <c r="ACS8" s="880"/>
      <c r="ACT8" s="880"/>
      <c r="ACU8" s="880"/>
      <c r="ACV8" s="880"/>
      <c r="ACW8" s="880"/>
      <c r="ACX8" s="880"/>
      <c r="ACY8" s="880"/>
      <c r="ACZ8" s="880"/>
      <c r="ADA8" s="880"/>
      <c r="ADB8" s="880"/>
      <c r="ADC8" s="880"/>
      <c r="ADD8" s="880"/>
      <c r="ADE8" s="880"/>
      <c r="ADF8" s="880"/>
      <c r="ADG8" s="880"/>
      <c r="ADH8" s="880"/>
      <c r="ADI8" s="880"/>
      <c r="ADJ8" s="880"/>
      <c r="ADK8" s="880"/>
      <c r="ADL8" s="880"/>
      <c r="ADM8" s="880"/>
      <c r="ADN8" s="880"/>
      <c r="ADO8" s="880"/>
      <c r="ADP8" s="880"/>
      <c r="ADQ8" s="880"/>
      <c r="ADR8" s="880"/>
      <c r="ADS8" s="880"/>
      <c r="ADT8" s="880"/>
      <c r="ADU8" s="880"/>
      <c r="ADV8" s="880"/>
      <c r="ADW8" s="880"/>
      <c r="ADX8" s="880"/>
      <c r="ADY8" s="880"/>
      <c r="ADZ8" s="880"/>
      <c r="AEA8" s="880"/>
      <c r="AEB8" s="880"/>
      <c r="AEC8" s="880"/>
      <c r="AED8" s="880"/>
      <c r="AEE8" s="880"/>
      <c r="AEF8" s="880"/>
      <c r="AEG8" s="880"/>
      <c r="AEH8" s="880"/>
      <c r="AEI8" s="880"/>
      <c r="AEJ8" s="880"/>
      <c r="AEK8" s="880"/>
      <c r="AEL8" s="880"/>
      <c r="AEM8" s="880"/>
      <c r="AEN8" s="880"/>
      <c r="AEO8" s="880"/>
      <c r="AEP8" s="880"/>
      <c r="AEQ8" s="880"/>
      <c r="AER8" s="880"/>
      <c r="AES8" s="880"/>
      <c r="AET8" s="880"/>
      <c r="AEU8" s="880"/>
      <c r="AEV8" s="880"/>
      <c r="AEW8" s="880"/>
      <c r="AEX8" s="880"/>
      <c r="AEY8" s="880"/>
      <c r="AEZ8" s="880"/>
      <c r="AFA8" s="880"/>
      <c r="AFB8" s="880"/>
      <c r="AFC8" s="880"/>
      <c r="AFD8" s="880"/>
      <c r="AFE8" s="880"/>
      <c r="AFF8" s="880"/>
      <c r="AFG8" s="880"/>
      <c r="AFH8" s="880"/>
      <c r="AFI8" s="880"/>
      <c r="AFJ8" s="880"/>
      <c r="AFK8" s="880"/>
      <c r="AFL8" s="880"/>
      <c r="AFM8" s="880"/>
      <c r="AFN8" s="880"/>
      <c r="AFO8" s="880"/>
      <c r="AFP8" s="880"/>
      <c r="AFQ8" s="880"/>
      <c r="AFR8" s="880"/>
      <c r="AFS8" s="880"/>
      <c r="AFT8" s="880"/>
      <c r="AFU8" s="880"/>
      <c r="AFV8" s="880"/>
      <c r="AFW8" s="880"/>
      <c r="AFX8" s="880"/>
      <c r="AFY8" s="880"/>
      <c r="AFZ8" s="880"/>
      <c r="AGA8" s="880"/>
      <c r="AGB8" s="880"/>
      <c r="AGC8" s="880"/>
      <c r="AGD8" s="880"/>
      <c r="AGE8" s="880"/>
      <c r="AGF8" s="880"/>
      <c r="AGG8" s="880"/>
      <c r="AGH8" s="880"/>
      <c r="AGI8" s="880"/>
      <c r="AGJ8" s="880"/>
      <c r="AGK8" s="880"/>
      <c r="AGL8" s="880"/>
      <c r="AGM8" s="880"/>
      <c r="AGN8" s="880"/>
      <c r="AGO8" s="880"/>
      <c r="AGP8" s="880"/>
      <c r="AGQ8" s="880"/>
      <c r="AGR8" s="880"/>
      <c r="AGS8" s="880"/>
      <c r="AGT8" s="880"/>
      <c r="AGU8" s="880"/>
      <c r="AGV8" s="880"/>
      <c r="AGW8" s="880"/>
      <c r="AGX8" s="880"/>
      <c r="AGY8" s="880"/>
      <c r="AGZ8" s="880"/>
      <c r="AHA8" s="880"/>
      <c r="AHB8" s="880"/>
      <c r="AHC8" s="880"/>
      <c r="AHD8" s="880"/>
      <c r="AHE8" s="880"/>
      <c r="AHF8" s="880"/>
      <c r="AHG8" s="880"/>
      <c r="AHH8" s="880"/>
      <c r="AHI8" s="880"/>
      <c r="AHJ8" s="880"/>
      <c r="AHK8" s="880"/>
      <c r="AHL8" s="880"/>
      <c r="AHM8" s="880"/>
      <c r="AHN8" s="880"/>
      <c r="AHO8" s="880"/>
      <c r="AHP8" s="880"/>
      <c r="AHQ8" s="880"/>
      <c r="AHR8" s="880"/>
      <c r="AHS8" s="880"/>
      <c r="AHT8" s="880"/>
      <c r="AHU8" s="880"/>
      <c r="AHV8" s="880"/>
      <c r="AHW8" s="880"/>
      <c r="AHX8" s="880"/>
      <c r="AHY8" s="880"/>
      <c r="AHZ8" s="880"/>
      <c r="AIA8" s="880"/>
      <c r="AIB8" s="880"/>
      <c r="AIC8" s="880"/>
      <c r="AID8" s="880"/>
      <c r="AIE8" s="880"/>
      <c r="AIF8" s="880"/>
      <c r="AIG8" s="880"/>
      <c r="AIH8" s="880"/>
      <c r="AII8" s="880"/>
      <c r="AIJ8" s="880"/>
      <c r="AIK8" s="880"/>
      <c r="AIL8" s="880"/>
      <c r="AIM8" s="880"/>
      <c r="AIN8" s="880"/>
      <c r="AIO8" s="880"/>
      <c r="AIP8" s="880"/>
      <c r="AIQ8" s="880"/>
      <c r="AIR8" s="880"/>
      <c r="AIS8" s="880"/>
      <c r="AIT8" s="880"/>
      <c r="AIU8" s="880"/>
      <c r="AIV8" s="880"/>
      <c r="AIW8" s="880"/>
      <c r="AIX8" s="880"/>
      <c r="AIY8" s="880"/>
      <c r="AIZ8" s="880"/>
      <c r="AJA8" s="880"/>
      <c r="AJB8" s="880"/>
      <c r="AJC8" s="880"/>
      <c r="AJD8" s="880"/>
      <c r="AJE8" s="880"/>
      <c r="AJF8" s="880"/>
      <c r="AJG8" s="880"/>
      <c r="AJH8" s="880"/>
      <c r="AJI8" s="880"/>
      <c r="AJJ8" s="880"/>
      <c r="AJK8" s="880"/>
      <c r="AJL8" s="880"/>
      <c r="AJM8" s="880"/>
      <c r="AJN8" s="880"/>
      <c r="AJO8" s="880"/>
      <c r="AJP8" s="880"/>
      <c r="AJQ8" s="880"/>
      <c r="AJR8" s="880"/>
      <c r="AJS8" s="880"/>
      <c r="AJT8" s="880"/>
      <c r="AJU8" s="880"/>
      <c r="AJV8" s="880"/>
      <c r="AJW8" s="880"/>
      <c r="AJX8" s="880"/>
      <c r="AJY8" s="880"/>
      <c r="AJZ8" s="880"/>
      <c r="AKA8" s="880"/>
      <c r="AKB8" s="880"/>
      <c r="AKC8" s="880"/>
      <c r="AKD8" s="880"/>
      <c r="AKE8" s="880"/>
      <c r="AKF8" s="880"/>
      <c r="AKG8" s="880"/>
      <c r="AKH8" s="880"/>
      <c r="AKI8" s="880"/>
      <c r="AKJ8" s="880"/>
      <c r="AKK8" s="880"/>
      <c r="AKL8" s="880"/>
      <c r="AKM8" s="880"/>
      <c r="AKN8" s="880"/>
      <c r="AKO8" s="880"/>
      <c r="AKP8" s="880"/>
      <c r="AKQ8" s="880"/>
      <c r="AKR8" s="880"/>
      <c r="AKS8" s="880"/>
      <c r="AKT8" s="880"/>
      <c r="AKU8" s="880"/>
      <c r="AKV8" s="880"/>
      <c r="AKW8" s="880"/>
    </row>
    <row r="9" spans="1:985" ht="21" customHeight="1" x14ac:dyDescent="0.3">
      <c r="A9" s="1098" t="s">
        <v>56</v>
      </c>
      <c r="B9" s="1098"/>
      <c r="C9" s="1089"/>
      <c r="D9" s="1090"/>
      <c r="E9" s="294"/>
      <c r="F9" s="1086" t="s">
        <v>57</v>
      </c>
      <c r="G9" s="1087"/>
      <c r="H9" s="1088"/>
      <c r="I9" s="1102" t="e">
        <f>IF($L$9=0,($I$8+10*LOG($C$15)),$L$9)</f>
        <v>#N/A</v>
      </c>
      <c r="J9" s="1102"/>
      <c r="K9" s="449"/>
      <c r="L9" s="1095"/>
      <c r="M9" s="1096"/>
      <c r="N9" s="880"/>
      <c r="O9" s="1093"/>
      <c r="P9" s="1094"/>
      <c r="Q9" s="1094"/>
      <c r="R9" s="452"/>
      <c r="S9" s="1099"/>
      <c r="T9" s="1099"/>
      <c r="U9" s="1099"/>
      <c r="V9" s="1099"/>
      <c r="W9" s="1099"/>
      <c r="X9" s="880"/>
      <c r="Y9" s="880"/>
      <c r="Z9" s="880"/>
      <c r="AA9" s="880"/>
      <c r="AB9" s="880"/>
      <c r="AC9" s="880"/>
      <c r="AD9" s="880"/>
      <c r="AE9" s="880"/>
      <c r="AF9" s="880"/>
      <c r="AG9" s="880"/>
      <c r="AH9" s="880"/>
      <c r="AI9" s="880"/>
      <c r="AJ9" s="880"/>
      <c r="AK9" s="880"/>
      <c r="AL9" s="880"/>
      <c r="AM9" s="880"/>
      <c r="AN9" s="880"/>
      <c r="AO9" s="880"/>
      <c r="AP9" s="880"/>
      <c r="AQ9" s="880"/>
      <c r="AR9" s="880"/>
      <c r="AS9" s="880"/>
      <c r="AT9" s="880"/>
      <c r="AU9" s="880"/>
      <c r="AV9" s="880"/>
      <c r="AW9" s="880"/>
      <c r="AX9" s="880"/>
      <c r="AY9" s="880"/>
      <c r="AZ9" s="880"/>
      <c r="BA9" s="880"/>
      <c r="BB9" s="880"/>
      <c r="BC9" s="880"/>
      <c r="BD9" s="880"/>
      <c r="BE9" s="880"/>
      <c r="BF9" s="880"/>
      <c r="BG9" s="880"/>
      <c r="BH9" s="880"/>
      <c r="BI9" s="880"/>
      <c r="BJ9" s="880"/>
      <c r="BK9" s="880"/>
      <c r="BL9" s="880"/>
      <c r="BM9" s="880"/>
      <c r="BN9" s="880"/>
      <c r="BO9" s="880"/>
      <c r="BP9" s="880"/>
      <c r="BQ9" s="880"/>
      <c r="BR9" s="880"/>
      <c r="BS9" s="880"/>
      <c r="BT9" s="880"/>
      <c r="BU9" s="880"/>
      <c r="BV9" s="880"/>
      <c r="BW9" s="880"/>
      <c r="BX9" s="880"/>
      <c r="BY9" s="880"/>
      <c r="BZ9" s="880"/>
      <c r="CA9" s="880"/>
      <c r="CB9" s="880"/>
      <c r="CC9" s="880"/>
      <c r="CD9" s="880"/>
      <c r="CE9" s="880"/>
      <c r="CF9" s="880"/>
      <c r="CG9" s="880"/>
      <c r="CH9" s="880"/>
      <c r="CI9" s="880"/>
      <c r="CJ9" s="880"/>
      <c r="CK9" s="880"/>
      <c r="CL9" s="880"/>
      <c r="CM9" s="880"/>
      <c r="CN9" s="880"/>
      <c r="CO9" s="880"/>
      <c r="CP9" s="880"/>
      <c r="CQ9" s="880"/>
      <c r="CR9" s="880"/>
      <c r="CS9" s="880"/>
      <c r="CT9" s="880"/>
      <c r="CU9" s="880"/>
      <c r="CV9" s="880"/>
      <c r="CW9" s="880"/>
      <c r="CX9" s="880"/>
      <c r="CY9" s="880"/>
      <c r="CZ9" s="880"/>
      <c r="DA9" s="880"/>
      <c r="DB9" s="880"/>
      <c r="DC9" s="880"/>
      <c r="DD9" s="880"/>
      <c r="DE9" s="880"/>
      <c r="DF9" s="880"/>
      <c r="DG9" s="880"/>
      <c r="DH9" s="880"/>
      <c r="DI9" s="880"/>
      <c r="DJ9" s="880"/>
      <c r="DK9" s="880"/>
      <c r="DL9" s="880"/>
      <c r="DM9" s="880"/>
      <c r="DN9" s="880"/>
      <c r="DO9" s="880"/>
      <c r="DP9" s="880"/>
      <c r="DQ9" s="880"/>
      <c r="DR9" s="880"/>
      <c r="DS9" s="880"/>
      <c r="DT9" s="880"/>
      <c r="DU9" s="880"/>
      <c r="DV9" s="880"/>
      <c r="DW9" s="880"/>
      <c r="DX9" s="880"/>
      <c r="DY9" s="880"/>
      <c r="DZ9" s="880"/>
      <c r="EA9" s="880"/>
      <c r="EB9" s="880"/>
      <c r="EC9" s="880"/>
      <c r="ED9" s="880"/>
      <c r="EE9" s="880"/>
      <c r="EF9" s="880"/>
      <c r="EG9" s="880"/>
      <c r="EH9" s="880"/>
      <c r="EI9" s="880"/>
      <c r="EJ9" s="880"/>
      <c r="EK9" s="880"/>
      <c r="EL9" s="880"/>
      <c r="EM9" s="880"/>
      <c r="EN9" s="880"/>
      <c r="EO9" s="880"/>
      <c r="EP9" s="880"/>
      <c r="EQ9" s="880"/>
      <c r="ER9" s="880"/>
      <c r="ES9" s="880"/>
      <c r="ET9" s="880"/>
      <c r="EU9" s="880"/>
      <c r="EV9" s="880"/>
      <c r="EW9" s="880"/>
      <c r="EX9" s="880"/>
      <c r="EY9" s="880"/>
      <c r="EZ9" s="880"/>
      <c r="FA9" s="880"/>
      <c r="FB9" s="880"/>
      <c r="FC9" s="880"/>
      <c r="FD9" s="880"/>
      <c r="FE9" s="880"/>
      <c r="FF9" s="880"/>
      <c r="FG9" s="880"/>
      <c r="FH9" s="880"/>
      <c r="FI9" s="880"/>
      <c r="FJ9" s="880"/>
      <c r="FK9" s="880"/>
      <c r="FL9" s="880"/>
      <c r="FM9" s="880"/>
      <c r="FN9" s="880"/>
      <c r="FO9" s="880"/>
      <c r="FP9" s="880"/>
      <c r="FQ9" s="880"/>
      <c r="FR9" s="880"/>
      <c r="FS9" s="880"/>
      <c r="FT9" s="880"/>
      <c r="FU9" s="880"/>
      <c r="FV9" s="880"/>
      <c r="FW9" s="880"/>
      <c r="FX9" s="880"/>
      <c r="FY9" s="880"/>
      <c r="FZ9" s="880"/>
      <c r="GA9" s="880"/>
      <c r="GB9" s="880"/>
      <c r="GC9" s="880"/>
      <c r="GD9" s="880"/>
      <c r="GE9" s="880"/>
      <c r="GF9" s="880"/>
      <c r="GG9" s="880"/>
      <c r="GH9" s="880"/>
      <c r="GI9" s="880"/>
      <c r="GJ9" s="880"/>
      <c r="GK9" s="880"/>
      <c r="GL9" s="880"/>
      <c r="GM9" s="880"/>
      <c r="GN9" s="880"/>
      <c r="GO9" s="880"/>
      <c r="GP9" s="880"/>
      <c r="GQ9" s="880"/>
      <c r="GR9" s="880"/>
      <c r="GS9" s="880"/>
      <c r="GT9" s="880"/>
      <c r="GU9" s="880"/>
      <c r="GV9" s="880"/>
      <c r="GW9" s="880"/>
      <c r="GX9" s="880"/>
      <c r="GY9" s="880"/>
      <c r="GZ9" s="880"/>
      <c r="HA9" s="880"/>
      <c r="HB9" s="880"/>
      <c r="HC9" s="880"/>
      <c r="HD9" s="880"/>
      <c r="HE9" s="880"/>
      <c r="HF9" s="880"/>
      <c r="HG9" s="880"/>
      <c r="HH9" s="880"/>
      <c r="HI9" s="880"/>
      <c r="HJ9" s="880"/>
      <c r="HK9" s="880"/>
      <c r="HL9" s="880"/>
      <c r="HM9" s="880"/>
      <c r="HN9" s="880"/>
      <c r="HO9" s="880"/>
      <c r="HP9" s="880"/>
      <c r="HQ9" s="880"/>
      <c r="HR9" s="880"/>
      <c r="HS9" s="880"/>
      <c r="HT9" s="880"/>
      <c r="HU9" s="880"/>
      <c r="HV9" s="880"/>
      <c r="HW9" s="880"/>
      <c r="HX9" s="880"/>
      <c r="HY9" s="880"/>
      <c r="HZ9" s="880"/>
      <c r="IA9" s="880"/>
      <c r="IB9" s="880"/>
      <c r="IC9" s="880"/>
      <c r="ID9" s="880"/>
      <c r="IE9" s="880"/>
      <c r="IF9" s="880"/>
      <c r="IG9" s="880"/>
      <c r="IH9" s="880"/>
      <c r="II9" s="880"/>
      <c r="IJ9" s="880"/>
      <c r="IK9" s="880"/>
      <c r="IL9" s="880"/>
      <c r="IM9" s="880"/>
      <c r="IN9" s="880"/>
      <c r="IO9" s="880"/>
      <c r="IP9" s="880"/>
      <c r="IQ9" s="880"/>
      <c r="IR9" s="880"/>
      <c r="IS9" s="880"/>
      <c r="IT9" s="880"/>
      <c r="IU9" s="880"/>
      <c r="IV9" s="880"/>
      <c r="IW9" s="880"/>
      <c r="IX9" s="880"/>
      <c r="IY9" s="880"/>
      <c r="IZ9" s="880"/>
      <c r="JA9" s="880"/>
      <c r="JB9" s="880"/>
      <c r="JC9" s="880"/>
      <c r="JD9" s="880"/>
      <c r="JE9" s="880"/>
      <c r="JF9" s="880"/>
      <c r="JG9" s="880"/>
      <c r="JH9" s="880"/>
      <c r="JI9" s="880"/>
      <c r="JJ9" s="880"/>
      <c r="JK9" s="880"/>
      <c r="JL9" s="880"/>
      <c r="JM9" s="880"/>
      <c r="JN9" s="880"/>
      <c r="JO9" s="880"/>
      <c r="JP9" s="880"/>
      <c r="JQ9" s="880"/>
      <c r="JR9" s="880"/>
      <c r="JS9" s="880"/>
      <c r="JT9" s="880"/>
      <c r="JU9" s="880"/>
      <c r="JV9" s="880"/>
      <c r="JW9" s="880"/>
      <c r="JX9" s="880"/>
      <c r="JY9" s="880"/>
      <c r="JZ9" s="880"/>
      <c r="KA9" s="880"/>
      <c r="KB9" s="880"/>
      <c r="KC9" s="880"/>
      <c r="KD9" s="880"/>
      <c r="KE9" s="880"/>
      <c r="KF9" s="880"/>
      <c r="KG9" s="880"/>
      <c r="KH9" s="880"/>
      <c r="KI9" s="880"/>
      <c r="KJ9" s="880"/>
      <c r="KK9" s="880"/>
      <c r="KL9" s="880"/>
      <c r="KM9" s="880"/>
      <c r="KN9" s="880"/>
      <c r="KO9" s="880"/>
      <c r="KP9" s="880"/>
      <c r="KQ9" s="880"/>
      <c r="KR9" s="880"/>
      <c r="KS9" s="880"/>
      <c r="KT9" s="880"/>
      <c r="KU9" s="880"/>
      <c r="KV9" s="880"/>
      <c r="KW9" s="880"/>
      <c r="KX9" s="880"/>
      <c r="KY9" s="880"/>
      <c r="KZ9" s="880"/>
      <c r="LA9" s="880"/>
      <c r="LB9" s="880"/>
      <c r="LC9" s="880"/>
      <c r="LD9" s="880"/>
      <c r="LE9" s="880"/>
      <c r="LF9" s="880"/>
      <c r="LG9" s="880"/>
      <c r="LH9" s="880"/>
      <c r="LI9" s="880"/>
      <c r="LJ9" s="880"/>
      <c r="LK9" s="880"/>
      <c r="LL9" s="880"/>
      <c r="LM9" s="880"/>
      <c r="LN9" s="880"/>
      <c r="LO9" s="880"/>
      <c r="LP9" s="880"/>
      <c r="LQ9" s="880"/>
      <c r="LR9" s="880"/>
      <c r="LS9" s="880"/>
      <c r="LT9" s="880"/>
      <c r="LU9" s="880"/>
      <c r="LV9" s="880"/>
      <c r="LW9" s="880"/>
      <c r="LX9" s="880"/>
      <c r="LY9" s="880"/>
      <c r="LZ9" s="880"/>
      <c r="MA9" s="880"/>
      <c r="MB9" s="880"/>
      <c r="MC9" s="880"/>
      <c r="MD9" s="880"/>
      <c r="ME9" s="880"/>
      <c r="MF9" s="880"/>
      <c r="MG9" s="880"/>
      <c r="MH9" s="880"/>
      <c r="MI9" s="880"/>
      <c r="MJ9" s="880"/>
      <c r="MK9" s="880"/>
      <c r="ML9" s="880"/>
      <c r="MM9" s="880"/>
      <c r="MN9" s="880"/>
      <c r="MO9" s="880"/>
      <c r="MP9" s="880"/>
      <c r="MQ9" s="880"/>
      <c r="MR9" s="880"/>
      <c r="MS9" s="880"/>
      <c r="MT9" s="880"/>
      <c r="MU9" s="880"/>
      <c r="MV9" s="880"/>
      <c r="MW9" s="880"/>
      <c r="MX9" s="880"/>
      <c r="MY9" s="880"/>
      <c r="MZ9" s="880"/>
      <c r="NA9" s="880"/>
      <c r="NB9" s="880"/>
      <c r="NC9" s="880"/>
      <c r="ND9" s="880"/>
      <c r="NE9" s="880"/>
      <c r="NF9" s="880"/>
      <c r="NG9" s="880"/>
      <c r="NH9" s="880"/>
      <c r="NI9" s="880"/>
      <c r="NJ9" s="880"/>
      <c r="NK9" s="880"/>
      <c r="NL9" s="880"/>
      <c r="NM9" s="880"/>
      <c r="NN9" s="880"/>
      <c r="NO9" s="880"/>
      <c r="NP9" s="880"/>
      <c r="NQ9" s="880"/>
      <c r="NR9" s="880"/>
      <c r="NS9" s="880"/>
      <c r="NT9" s="880"/>
      <c r="NU9" s="880"/>
      <c r="NV9" s="880"/>
      <c r="NW9" s="880"/>
      <c r="NX9" s="880"/>
      <c r="NY9" s="880"/>
      <c r="NZ9" s="880"/>
      <c r="OA9" s="880"/>
      <c r="OB9" s="880"/>
      <c r="OC9" s="880"/>
      <c r="OD9" s="880"/>
      <c r="OE9" s="880"/>
      <c r="OF9" s="880"/>
      <c r="OG9" s="880"/>
      <c r="OH9" s="880"/>
      <c r="OI9" s="880"/>
      <c r="OJ9" s="880"/>
      <c r="OK9" s="880"/>
      <c r="OL9" s="880"/>
      <c r="OM9" s="880"/>
      <c r="ON9" s="880"/>
      <c r="OO9" s="880"/>
      <c r="OP9" s="880"/>
      <c r="OQ9" s="880"/>
      <c r="OR9" s="880"/>
      <c r="OS9" s="880"/>
      <c r="OT9" s="880"/>
      <c r="OU9" s="880"/>
      <c r="OV9" s="880"/>
      <c r="OW9" s="880"/>
      <c r="OX9" s="880"/>
      <c r="OY9" s="880"/>
      <c r="OZ9" s="880"/>
      <c r="PA9" s="880"/>
      <c r="PB9" s="880"/>
      <c r="PC9" s="880"/>
      <c r="PD9" s="880"/>
      <c r="PE9" s="880"/>
      <c r="PF9" s="880"/>
      <c r="PG9" s="880"/>
      <c r="PH9" s="880"/>
      <c r="PI9" s="880"/>
      <c r="PJ9" s="880"/>
      <c r="PK9" s="880"/>
      <c r="PL9" s="880"/>
      <c r="PM9" s="880"/>
      <c r="PN9" s="880"/>
      <c r="PO9" s="880"/>
      <c r="PP9" s="880"/>
      <c r="PQ9" s="880"/>
      <c r="PR9" s="880"/>
      <c r="PS9" s="880"/>
      <c r="PT9" s="880"/>
      <c r="PU9" s="880"/>
      <c r="PV9" s="880"/>
      <c r="PW9" s="880"/>
      <c r="PX9" s="880"/>
      <c r="PY9" s="880"/>
      <c r="PZ9" s="880"/>
      <c r="QA9" s="880"/>
      <c r="QB9" s="880"/>
      <c r="QC9" s="880"/>
      <c r="QD9" s="880"/>
      <c r="QE9" s="880"/>
      <c r="QF9" s="880"/>
      <c r="QG9" s="880"/>
      <c r="QH9" s="880"/>
      <c r="QI9" s="880"/>
      <c r="QJ9" s="880"/>
      <c r="QK9" s="880"/>
      <c r="QL9" s="880"/>
      <c r="QM9" s="880"/>
      <c r="QN9" s="880"/>
      <c r="QO9" s="880"/>
      <c r="QP9" s="880"/>
      <c r="QQ9" s="880"/>
      <c r="QR9" s="880"/>
      <c r="QS9" s="880"/>
      <c r="QT9" s="880"/>
      <c r="QU9" s="880"/>
      <c r="QV9" s="880"/>
      <c r="QW9" s="880"/>
      <c r="QX9" s="880"/>
      <c r="QY9" s="880"/>
      <c r="QZ9" s="880"/>
      <c r="RA9" s="880"/>
      <c r="RB9" s="880"/>
      <c r="RC9" s="880"/>
      <c r="RD9" s="880"/>
      <c r="RE9" s="880"/>
      <c r="RF9" s="880"/>
      <c r="RG9" s="880"/>
      <c r="RH9" s="880"/>
      <c r="RI9" s="880"/>
      <c r="RJ9" s="880"/>
      <c r="RK9" s="880"/>
      <c r="RL9" s="880"/>
      <c r="RM9" s="880"/>
      <c r="RN9" s="880"/>
      <c r="RO9" s="880"/>
      <c r="RP9" s="880"/>
      <c r="RQ9" s="880"/>
      <c r="RR9" s="880"/>
      <c r="RS9" s="880"/>
      <c r="RT9" s="880"/>
      <c r="RU9" s="880"/>
      <c r="RV9" s="880"/>
      <c r="RW9" s="880"/>
      <c r="RX9" s="880"/>
      <c r="RY9" s="880"/>
      <c r="RZ9" s="880"/>
      <c r="SA9" s="880"/>
      <c r="SB9" s="880"/>
      <c r="SC9" s="880"/>
      <c r="SD9" s="880"/>
      <c r="SE9" s="880"/>
      <c r="SF9" s="880"/>
      <c r="SG9" s="880"/>
      <c r="SH9" s="880"/>
      <c r="SI9" s="880"/>
      <c r="SJ9" s="880"/>
      <c r="SK9" s="880"/>
      <c r="SL9" s="880"/>
      <c r="SM9" s="880"/>
      <c r="SN9" s="880"/>
      <c r="SO9" s="880"/>
      <c r="SP9" s="880"/>
      <c r="SQ9" s="880"/>
      <c r="SR9" s="880"/>
      <c r="SS9" s="880"/>
      <c r="ST9" s="880"/>
      <c r="SU9" s="880"/>
      <c r="SV9" s="880"/>
      <c r="SW9" s="880"/>
      <c r="SX9" s="880"/>
      <c r="SY9" s="880"/>
      <c r="SZ9" s="880"/>
      <c r="TA9" s="880"/>
      <c r="TB9" s="880"/>
      <c r="TC9" s="880"/>
      <c r="TD9" s="880"/>
      <c r="TE9" s="880"/>
      <c r="TF9" s="880"/>
      <c r="TG9" s="880"/>
      <c r="TH9" s="880"/>
      <c r="TI9" s="880"/>
      <c r="TJ9" s="880"/>
      <c r="TK9" s="880"/>
      <c r="TL9" s="880"/>
      <c r="TM9" s="880"/>
      <c r="TN9" s="880"/>
      <c r="TO9" s="880"/>
      <c r="TP9" s="880"/>
      <c r="TQ9" s="880"/>
      <c r="TR9" s="880"/>
      <c r="TS9" s="880"/>
      <c r="TT9" s="880"/>
      <c r="TU9" s="880"/>
      <c r="TV9" s="880"/>
      <c r="TW9" s="880"/>
      <c r="TX9" s="880"/>
      <c r="TY9" s="880"/>
      <c r="TZ9" s="880"/>
      <c r="UA9" s="880"/>
      <c r="UB9" s="880"/>
      <c r="UC9" s="880"/>
      <c r="UD9" s="880"/>
      <c r="UE9" s="880"/>
      <c r="UF9" s="880"/>
      <c r="UG9" s="880"/>
      <c r="UH9" s="880"/>
      <c r="UI9" s="880"/>
      <c r="UJ9" s="880"/>
      <c r="UK9" s="880"/>
      <c r="UL9" s="880"/>
      <c r="UM9" s="880"/>
      <c r="UN9" s="880"/>
      <c r="UO9" s="880"/>
      <c r="UP9" s="880"/>
      <c r="UQ9" s="880"/>
      <c r="UR9" s="880"/>
      <c r="US9" s="880"/>
      <c r="UT9" s="880"/>
      <c r="UU9" s="880"/>
      <c r="UV9" s="880"/>
      <c r="UW9" s="880"/>
      <c r="UX9" s="880"/>
      <c r="UY9" s="880"/>
      <c r="UZ9" s="880"/>
      <c r="VA9" s="880"/>
      <c r="VB9" s="880"/>
      <c r="VC9" s="880"/>
      <c r="VD9" s="880"/>
      <c r="VE9" s="880"/>
      <c r="VF9" s="880"/>
      <c r="VG9" s="880"/>
      <c r="VH9" s="880"/>
      <c r="VI9" s="880"/>
      <c r="VJ9" s="880"/>
      <c r="VK9" s="880"/>
      <c r="VL9" s="880"/>
      <c r="VM9" s="880"/>
      <c r="VN9" s="880"/>
      <c r="VO9" s="880"/>
      <c r="VP9" s="880"/>
      <c r="VQ9" s="880"/>
      <c r="VR9" s="880"/>
      <c r="VS9" s="880"/>
      <c r="VT9" s="880"/>
      <c r="VU9" s="880"/>
      <c r="VV9" s="880"/>
      <c r="VW9" s="880"/>
      <c r="VX9" s="880"/>
      <c r="VY9" s="880"/>
      <c r="VZ9" s="880"/>
      <c r="WA9" s="880"/>
      <c r="WB9" s="880"/>
      <c r="WC9" s="880"/>
      <c r="WD9" s="880"/>
      <c r="WE9" s="880"/>
      <c r="WF9" s="880"/>
      <c r="WG9" s="880"/>
      <c r="WH9" s="880"/>
      <c r="WI9" s="880"/>
      <c r="WJ9" s="880"/>
      <c r="WK9" s="880"/>
      <c r="WL9" s="880"/>
      <c r="WM9" s="880"/>
      <c r="WN9" s="880"/>
      <c r="WO9" s="880"/>
      <c r="WP9" s="880"/>
      <c r="WQ9" s="880"/>
      <c r="WR9" s="880"/>
      <c r="WS9" s="880"/>
      <c r="WT9" s="880"/>
      <c r="WU9" s="880"/>
      <c r="WV9" s="880"/>
      <c r="WW9" s="880"/>
      <c r="WX9" s="880"/>
      <c r="WY9" s="880"/>
      <c r="WZ9" s="880"/>
      <c r="XA9" s="880"/>
      <c r="XB9" s="880"/>
      <c r="XC9" s="880"/>
      <c r="XD9" s="880"/>
      <c r="XE9" s="880"/>
      <c r="XF9" s="880"/>
      <c r="XG9" s="880"/>
      <c r="XH9" s="880"/>
      <c r="XI9" s="880"/>
      <c r="XJ9" s="880"/>
      <c r="XK9" s="880"/>
      <c r="XL9" s="880"/>
      <c r="XM9" s="880"/>
      <c r="XN9" s="880"/>
      <c r="XO9" s="880"/>
      <c r="XP9" s="880"/>
      <c r="XQ9" s="880"/>
      <c r="XR9" s="880"/>
      <c r="XS9" s="880"/>
      <c r="XT9" s="880"/>
      <c r="XU9" s="880"/>
      <c r="XV9" s="880"/>
      <c r="XW9" s="880"/>
      <c r="XX9" s="880"/>
      <c r="XY9" s="880"/>
      <c r="XZ9" s="880"/>
      <c r="YA9" s="880"/>
      <c r="YB9" s="880"/>
      <c r="YC9" s="880"/>
      <c r="YD9" s="880"/>
      <c r="YE9" s="880"/>
      <c r="YF9" s="880"/>
      <c r="YG9" s="880"/>
      <c r="YH9" s="880"/>
      <c r="YI9" s="880"/>
      <c r="YJ9" s="880"/>
      <c r="YK9" s="880"/>
      <c r="YL9" s="880"/>
      <c r="YM9" s="880"/>
      <c r="YN9" s="880"/>
      <c r="YO9" s="880"/>
      <c r="YP9" s="880"/>
      <c r="YQ9" s="880"/>
      <c r="YR9" s="880"/>
      <c r="YS9" s="880"/>
      <c r="YT9" s="880"/>
      <c r="YU9" s="880"/>
      <c r="YV9" s="880"/>
      <c r="YW9" s="880"/>
      <c r="YX9" s="880"/>
      <c r="YY9" s="880"/>
      <c r="YZ9" s="880"/>
      <c r="ZA9" s="880"/>
      <c r="ZB9" s="880"/>
      <c r="ZC9" s="880"/>
      <c r="ZD9" s="880"/>
      <c r="ZE9" s="880"/>
      <c r="ZF9" s="880"/>
      <c r="ZG9" s="880"/>
      <c r="ZH9" s="880"/>
      <c r="ZI9" s="880"/>
      <c r="ZJ9" s="880"/>
      <c r="ZK9" s="880"/>
      <c r="ZL9" s="880"/>
      <c r="ZM9" s="880"/>
      <c r="ZN9" s="880"/>
      <c r="ZO9" s="880"/>
      <c r="ZP9" s="880"/>
      <c r="ZQ9" s="880"/>
      <c r="ZR9" s="880"/>
      <c r="ZS9" s="880"/>
      <c r="ZT9" s="880"/>
      <c r="ZU9" s="880"/>
      <c r="ZV9" s="880"/>
      <c r="ZW9" s="880"/>
      <c r="ZX9" s="880"/>
      <c r="ZY9" s="880"/>
      <c r="ZZ9" s="880"/>
      <c r="AAA9" s="880"/>
      <c r="AAB9" s="880"/>
      <c r="AAC9" s="880"/>
      <c r="AAD9" s="880"/>
      <c r="AAE9" s="880"/>
      <c r="AAF9" s="880"/>
      <c r="AAG9" s="880"/>
      <c r="AAH9" s="880"/>
      <c r="AAI9" s="880"/>
      <c r="AAJ9" s="880"/>
      <c r="AAK9" s="880"/>
      <c r="AAL9" s="880"/>
      <c r="AAM9" s="880"/>
      <c r="AAN9" s="880"/>
      <c r="AAO9" s="880"/>
      <c r="AAP9" s="880"/>
      <c r="AAQ9" s="880"/>
      <c r="AAR9" s="880"/>
      <c r="AAS9" s="880"/>
      <c r="AAT9" s="880"/>
      <c r="AAU9" s="880"/>
      <c r="AAV9" s="880"/>
      <c r="AAW9" s="880"/>
      <c r="AAX9" s="880"/>
      <c r="AAY9" s="880"/>
      <c r="AAZ9" s="880"/>
      <c r="ABA9" s="880"/>
      <c r="ABB9" s="880"/>
      <c r="ABC9" s="880"/>
      <c r="ABD9" s="880"/>
      <c r="ABE9" s="880"/>
      <c r="ABF9" s="880"/>
      <c r="ABG9" s="880"/>
      <c r="ABH9" s="880"/>
      <c r="ABI9" s="880"/>
      <c r="ABJ9" s="880"/>
      <c r="ABK9" s="880"/>
      <c r="ABL9" s="880"/>
      <c r="ABM9" s="880"/>
      <c r="ABN9" s="880"/>
      <c r="ABO9" s="880"/>
      <c r="ABP9" s="880"/>
      <c r="ABQ9" s="880"/>
      <c r="ABR9" s="880"/>
      <c r="ABS9" s="880"/>
      <c r="ABT9" s="880"/>
      <c r="ABU9" s="880"/>
      <c r="ABV9" s="880"/>
      <c r="ABW9" s="880"/>
      <c r="ABX9" s="880"/>
      <c r="ABY9" s="880"/>
      <c r="ABZ9" s="880"/>
      <c r="ACA9" s="880"/>
      <c r="ACB9" s="880"/>
      <c r="ACC9" s="880"/>
      <c r="ACD9" s="880"/>
      <c r="ACE9" s="880"/>
      <c r="ACF9" s="880"/>
      <c r="ACG9" s="880"/>
      <c r="ACH9" s="880"/>
      <c r="ACI9" s="880"/>
      <c r="ACJ9" s="880"/>
      <c r="ACK9" s="880"/>
      <c r="ACL9" s="880"/>
      <c r="ACM9" s="880"/>
      <c r="ACN9" s="880"/>
      <c r="ACO9" s="880"/>
      <c r="ACP9" s="880"/>
      <c r="ACQ9" s="880"/>
      <c r="ACR9" s="880"/>
      <c r="ACS9" s="880"/>
      <c r="ACT9" s="880"/>
      <c r="ACU9" s="880"/>
      <c r="ACV9" s="880"/>
      <c r="ACW9" s="880"/>
      <c r="ACX9" s="880"/>
      <c r="ACY9" s="880"/>
      <c r="ACZ9" s="880"/>
      <c r="ADA9" s="880"/>
      <c r="ADB9" s="880"/>
      <c r="ADC9" s="880"/>
      <c r="ADD9" s="880"/>
      <c r="ADE9" s="880"/>
      <c r="ADF9" s="880"/>
      <c r="ADG9" s="880"/>
      <c r="ADH9" s="880"/>
      <c r="ADI9" s="880"/>
      <c r="ADJ9" s="880"/>
      <c r="ADK9" s="880"/>
      <c r="ADL9" s="880"/>
      <c r="ADM9" s="880"/>
      <c r="ADN9" s="880"/>
      <c r="ADO9" s="880"/>
      <c r="ADP9" s="880"/>
      <c r="ADQ9" s="880"/>
      <c r="ADR9" s="880"/>
      <c r="ADS9" s="880"/>
      <c r="ADT9" s="880"/>
      <c r="ADU9" s="880"/>
      <c r="ADV9" s="880"/>
      <c r="ADW9" s="880"/>
      <c r="ADX9" s="880"/>
      <c r="ADY9" s="880"/>
      <c r="ADZ9" s="880"/>
      <c r="AEA9" s="880"/>
      <c r="AEB9" s="880"/>
      <c r="AEC9" s="880"/>
      <c r="AED9" s="880"/>
      <c r="AEE9" s="880"/>
      <c r="AEF9" s="880"/>
      <c r="AEG9" s="880"/>
      <c r="AEH9" s="880"/>
      <c r="AEI9" s="880"/>
      <c r="AEJ9" s="880"/>
      <c r="AEK9" s="880"/>
      <c r="AEL9" s="880"/>
      <c r="AEM9" s="880"/>
      <c r="AEN9" s="880"/>
      <c r="AEO9" s="880"/>
      <c r="AEP9" s="880"/>
      <c r="AEQ9" s="880"/>
      <c r="AER9" s="880"/>
      <c r="AES9" s="880"/>
      <c r="AET9" s="880"/>
      <c r="AEU9" s="880"/>
      <c r="AEV9" s="880"/>
      <c r="AEW9" s="880"/>
      <c r="AEX9" s="880"/>
      <c r="AEY9" s="880"/>
      <c r="AEZ9" s="880"/>
      <c r="AFA9" s="880"/>
      <c r="AFB9" s="880"/>
      <c r="AFC9" s="880"/>
      <c r="AFD9" s="880"/>
      <c r="AFE9" s="880"/>
      <c r="AFF9" s="880"/>
      <c r="AFG9" s="880"/>
      <c r="AFH9" s="880"/>
      <c r="AFI9" s="880"/>
      <c r="AFJ9" s="880"/>
      <c r="AFK9" s="880"/>
      <c r="AFL9" s="880"/>
      <c r="AFM9" s="880"/>
      <c r="AFN9" s="880"/>
      <c r="AFO9" s="880"/>
      <c r="AFP9" s="880"/>
      <c r="AFQ9" s="880"/>
      <c r="AFR9" s="880"/>
      <c r="AFS9" s="880"/>
      <c r="AFT9" s="880"/>
      <c r="AFU9" s="880"/>
      <c r="AFV9" s="880"/>
      <c r="AFW9" s="880"/>
      <c r="AFX9" s="880"/>
      <c r="AFY9" s="880"/>
      <c r="AFZ9" s="880"/>
      <c r="AGA9" s="880"/>
      <c r="AGB9" s="880"/>
      <c r="AGC9" s="880"/>
      <c r="AGD9" s="880"/>
      <c r="AGE9" s="880"/>
      <c r="AGF9" s="880"/>
      <c r="AGG9" s="880"/>
      <c r="AGH9" s="880"/>
      <c r="AGI9" s="880"/>
      <c r="AGJ9" s="880"/>
      <c r="AGK9" s="880"/>
      <c r="AGL9" s="880"/>
      <c r="AGM9" s="880"/>
      <c r="AGN9" s="880"/>
      <c r="AGO9" s="880"/>
      <c r="AGP9" s="880"/>
      <c r="AGQ9" s="880"/>
      <c r="AGR9" s="880"/>
      <c r="AGS9" s="880"/>
      <c r="AGT9" s="880"/>
      <c r="AGU9" s="880"/>
      <c r="AGV9" s="880"/>
      <c r="AGW9" s="880"/>
      <c r="AGX9" s="880"/>
      <c r="AGY9" s="880"/>
      <c r="AGZ9" s="880"/>
      <c r="AHA9" s="880"/>
      <c r="AHB9" s="880"/>
      <c r="AHC9" s="880"/>
      <c r="AHD9" s="880"/>
      <c r="AHE9" s="880"/>
      <c r="AHF9" s="880"/>
      <c r="AHG9" s="880"/>
      <c r="AHH9" s="880"/>
      <c r="AHI9" s="880"/>
      <c r="AHJ9" s="880"/>
      <c r="AHK9" s="880"/>
      <c r="AHL9" s="880"/>
      <c r="AHM9" s="880"/>
      <c r="AHN9" s="880"/>
      <c r="AHO9" s="880"/>
      <c r="AHP9" s="880"/>
      <c r="AHQ9" s="880"/>
      <c r="AHR9" s="880"/>
      <c r="AHS9" s="880"/>
      <c r="AHT9" s="880"/>
      <c r="AHU9" s="880"/>
      <c r="AHV9" s="880"/>
      <c r="AHW9" s="880"/>
      <c r="AHX9" s="880"/>
      <c r="AHY9" s="880"/>
      <c r="AHZ9" s="880"/>
      <c r="AIA9" s="880"/>
      <c r="AIB9" s="880"/>
      <c r="AIC9" s="880"/>
      <c r="AID9" s="880"/>
      <c r="AIE9" s="880"/>
      <c r="AIF9" s="880"/>
      <c r="AIG9" s="880"/>
      <c r="AIH9" s="880"/>
      <c r="AII9" s="880"/>
      <c r="AIJ9" s="880"/>
      <c r="AIK9" s="880"/>
      <c r="AIL9" s="880"/>
      <c r="AIM9" s="880"/>
      <c r="AIN9" s="880"/>
      <c r="AIO9" s="880"/>
      <c r="AIP9" s="880"/>
      <c r="AIQ9" s="880"/>
      <c r="AIR9" s="880"/>
      <c r="AIS9" s="880"/>
      <c r="AIT9" s="880"/>
      <c r="AIU9" s="880"/>
      <c r="AIV9" s="880"/>
      <c r="AIW9" s="880"/>
      <c r="AIX9" s="880"/>
      <c r="AIY9" s="880"/>
      <c r="AIZ9" s="880"/>
      <c r="AJA9" s="880"/>
      <c r="AJB9" s="880"/>
      <c r="AJC9" s="880"/>
      <c r="AJD9" s="880"/>
      <c r="AJE9" s="880"/>
      <c r="AJF9" s="880"/>
      <c r="AJG9" s="880"/>
      <c r="AJH9" s="880"/>
      <c r="AJI9" s="880"/>
      <c r="AJJ9" s="880"/>
      <c r="AJK9" s="880"/>
      <c r="AJL9" s="880"/>
      <c r="AJM9" s="880"/>
      <c r="AJN9" s="880"/>
      <c r="AJO9" s="880"/>
      <c r="AJP9" s="880"/>
      <c r="AJQ9" s="880"/>
      <c r="AJR9" s="880"/>
      <c r="AJS9" s="880"/>
      <c r="AJT9" s="880"/>
      <c r="AJU9" s="880"/>
      <c r="AJV9" s="880"/>
      <c r="AJW9" s="880"/>
      <c r="AJX9" s="880"/>
      <c r="AJY9" s="880"/>
      <c r="AJZ9" s="880"/>
      <c r="AKA9" s="880"/>
      <c r="AKB9" s="880"/>
      <c r="AKC9" s="880"/>
      <c r="AKD9" s="880"/>
      <c r="AKE9" s="880"/>
      <c r="AKF9" s="880"/>
      <c r="AKG9" s="880"/>
      <c r="AKH9" s="880"/>
      <c r="AKI9" s="880"/>
      <c r="AKJ9" s="880"/>
      <c r="AKK9" s="880"/>
      <c r="AKL9" s="880"/>
      <c r="AKM9" s="880"/>
      <c r="AKN9" s="880"/>
      <c r="AKO9" s="880"/>
      <c r="AKP9" s="880"/>
      <c r="AKQ9" s="880"/>
      <c r="AKR9" s="880"/>
      <c r="AKS9" s="880"/>
      <c r="AKT9" s="880"/>
      <c r="AKU9" s="880"/>
      <c r="AKV9" s="880"/>
      <c r="AKW9" s="880"/>
    </row>
    <row r="10" spans="1:985" ht="21" customHeight="1" x14ac:dyDescent="0.3">
      <c r="A10" s="880"/>
      <c r="B10" s="880"/>
      <c r="C10" s="1097" t="str">
        <f>CONCATENATE(C7,C8,C9)</f>
        <v/>
      </c>
      <c r="D10" s="1097"/>
      <c r="E10" s="437" t="e">
        <f>VLOOKUP($C$10,'Pile Data'!$E$3:$K$34,7,FALSE)</f>
        <v>#N/A</v>
      </c>
      <c r="F10" s="1086" t="s">
        <v>58</v>
      </c>
      <c r="G10" s="1087"/>
      <c r="H10" s="1088"/>
      <c r="I10" s="963" t="e">
        <f>IF($L$10=0,(VLOOKUP($C$10,'Pile Data'!$E$3:$J$34,5,FALSE)),$L$10)</f>
        <v>#N/A</v>
      </c>
      <c r="J10" s="421"/>
      <c r="K10" s="447"/>
      <c r="L10" s="962"/>
      <c r="M10" s="882"/>
      <c r="N10" s="880"/>
      <c r="O10" s="1093"/>
      <c r="P10" s="1094"/>
      <c r="Q10" s="1094"/>
      <c r="R10" s="452"/>
      <c r="S10" s="880"/>
      <c r="T10" s="880"/>
      <c r="U10" s="880"/>
      <c r="V10" s="880"/>
      <c r="W10" s="880"/>
      <c r="X10" s="880"/>
      <c r="Y10" s="880"/>
      <c r="Z10" s="880"/>
      <c r="AA10" s="880"/>
      <c r="AB10" s="880"/>
      <c r="AC10" s="880"/>
      <c r="AD10" s="880"/>
      <c r="AE10" s="880"/>
      <c r="AF10" s="880"/>
      <c r="AG10" s="880"/>
      <c r="AH10" s="880"/>
      <c r="AI10" s="880"/>
      <c r="AJ10" s="880"/>
      <c r="AK10" s="880"/>
      <c r="AL10" s="880"/>
      <c r="AM10" s="880"/>
      <c r="AN10" s="880"/>
      <c r="AO10" s="880"/>
      <c r="AP10" s="880"/>
      <c r="AQ10" s="880"/>
      <c r="AR10" s="880"/>
      <c r="AS10" s="880"/>
      <c r="AT10" s="880"/>
      <c r="AU10" s="880"/>
      <c r="AV10" s="880"/>
      <c r="AW10" s="880"/>
      <c r="AX10" s="880"/>
      <c r="AY10" s="880"/>
      <c r="AZ10" s="880"/>
      <c r="BA10" s="880"/>
      <c r="BB10" s="880"/>
      <c r="BC10" s="880"/>
      <c r="BD10" s="880"/>
      <c r="BE10" s="880"/>
      <c r="BF10" s="880"/>
      <c r="BG10" s="880"/>
      <c r="BH10" s="880"/>
      <c r="BI10" s="880"/>
      <c r="BJ10" s="880"/>
      <c r="BK10" s="880"/>
      <c r="BL10" s="880"/>
      <c r="BM10" s="880"/>
      <c r="BN10" s="880"/>
      <c r="BO10" s="880"/>
      <c r="BP10" s="880"/>
      <c r="BQ10" s="880"/>
      <c r="BR10" s="880"/>
      <c r="BS10" s="880"/>
      <c r="BT10" s="880"/>
      <c r="BU10" s="880"/>
      <c r="BV10" s="880"/>
      <c r="BW10" s="880"/>
      <c r="BX10" s="880"/>
      <c r="BY10" s="880"/>
      <c r="BZ10" s="880"/>
      <c r="CA10" s="880"/>
      <c r="CB10" s="880"/>
      <c r="CC10" s="880"/>
      <c r="CD10" s="880"/>
      <c r="CE10" s="880"/>
      <c r="CF10" s="880"/>
      <c r="CG10" s="880"/>
      <c r="CH10" s="880"/>
      <c r="CI10" s="880"/>
      <c r="CJ10" s="880"/>
      <c r="CK10" s="880"/>
      <c r="CL10" s="880"/>
      <c r="CM10" s="880"/>
      <c r="CN10" s="880"/>
      <c r="CO10" s="880"/>
      <c r="CP10" s="880"/>
      <c r="CQ10" s="880"/>
      <c r="CR10" s="880"/>
      <c r="CS10" s="880"/>
      <c r="CT10" s="880"/>
      <c r="CU10" s="880"/>
      <c r="CV10" s="880"/>
      <c r="CW10" s="880"/>
      <c r="CX10" s="880"/>
      <c r="CY10" s="880"/>
      <c r="CZ10" s="880"/>
      <c r="DA10" s="880"/>
      <c r="DB10" s="880"/>
      <c r="DC10" s="880"/>
      <c r="DD10" s="880"/>
      <c r="DE10" s="880"/>
      <c r="DF10" s="880"/>
      <c r="DG10" s="880"/>
      <c r="DH10" s="880"/>
      <c r="DI10" s="880"/>
      <c r="DJ10" s="880"/>
      <c r="DK10" s="880"/>
      <c r="DL10" s="880"/>
      <c r="DM10" s="880"/>
      <c r="DN10" s="880"/>
      <c r="DO10" s="880"/>
      <c r="DP10" s="880"/>
      <c r="DQ10" s="880"/>
      <c r="DR10" s="880"/>
      <c r="DS10" s="880"/>
      <c r="DT10" s="880"/>
      <c r="DU10" s="880"/>
      <c r="DV10" s="880"/>
      <c r="DW10" s="880"/>
      <c r="DX10" s="880"/>
      <c r="DY10" s="880"/>
      <c r="DZ10" s="880"/>
      <c r="EA10" s="880"/>
      <c r="EB10" s="880"/>
      <c r="EC10" s="880"/>
      <c r="ED10" s="880"/>
      <c r="EE10" s="880"/>
      <c r="EF10" s="880"/>
      <c r="EG10" s="880"/>
      <c r="EH10" s="880"/>
      <c r="EI10" s="880"/>
      <c r="EJ10" s="880"/>
      <c r="EK10" s="880"/>
      <c r="EL10" s="880"/>
      <c r="EM10" s="880"/>
      <c r="EN10" s="880"/>
      <c r="EO10" s="880"/>
      <c r="EP10" s="880"/>
      <c r="EQ10" s="880"/>
      <c r="ER10" s="880"/>
      <c r="ES10" s="880"/>
      <c r="ET10" s="880"/>
      <c r="EU10" s="880"/>
      <c r="EV10" s="880"/>
      <c r="EW10" s="880"/>
      <c r="EX10" s="880"/>
      <c r="EY10" s="880"/>
      <c r="EZ10" s="880"/>
      <c r="FA10" s="880"/>
      <c r="FB10" s="880"/>
      <c r="FC10" s="880"/>
      <c r="FD10" s="880"/>
      <c r="FE10" s="880"/>
      <c r="FF10" s="880"/>
      <c r="FG10" s="880"/>
      <c r="FH10" s="880"/>
      <c r="FI10" s="880"/>
      <c r="FJ10" s="880"/>
      <c r="FK10" s="880"/>
      <c r="FL10" s="880"/>
      <c r="FM10" s="880"/>
      <c r="FN10" s="880"/>
      <c r="FO10" s="880"/>
      <c r="FP10" s="880"/>
      <c r="FQ10" s="880"/>
      <c r="FR10" s="880"/>
      <c r="FS10" s="880"/>
      <c r="FT10" s="880"/>
      <c r="FU10" s="880"/>
      <c r="FV10" s="880"/>
      <c r="FW10" s="880"/>
      <c r="FX10" s="880"/>
      <c r="FY10" s="880"/>
      <c r="FZ10" s="880"/>
      <c r="GA10" s="880"/>
      <c r="GB10" s="880"/>
      <c r="GC10" s="880"/>
      <c r="GD10" s="880"/>
      <c r="GE10" s="880"/>
      <c r="GF10" s="880"/>
      <c r="GG10" s="880"/>
      <c r="GH10" s="880"/>
      <c r="GI10" s="880"/>
      <c r="GJ10" s="880"/>
      <c r="GK10" s="880"/>
      <c r="GL10" s="880"/>
      <c r="GM10" s="880"/>
      <c r="GN10" s="880"/>
      <c r="GO10" s="880"/>
      <c r="GP10" s="880"/>
      <c r="GQ10" s="880"/>
      <c r="GR10" s="880"/>
      <c r="GS10" s="880"/>
      <c r="GT10" s="880"/>
      <c r="GU10" s="880"/>
      <c r="GV10" s="880"/>
      <c r="GW10" s="880"/>
      <c r="GX10" s="880"/>
      <c r="GY10" s="880"/>
      <c r="GZ10" s="880"/>
      <c r="HA10" s="880"/>
      <c r="HB10" s="880"/>
      <c r="HC10" s="880"/>
      <c r="HD10" s="880"/>
      <c r="HE10" s="880"/>
      <c r="HF10" s="880"/>
      <c r="HG10" s="880"/>
      <c r="HH10" s="880"/>
      <c r="HI10" s="880"/>
      <c r="HJ10" s="880"/>
      <c r="HK10" s="880"/>
      <c r="HL10" s="880"/>
      <c r="HM10" s="880"/>
      <c r="HN10" s="880"/>
      <c r="HO10" s="880"/>
      <c r="HP10" s="880"/>
      <c r="HQ10" s="880"/>
      <c r="HR10" s="880"/>
      <c r="HS10" s="880"/>
      <c r="HT10" s="880"/>
      <c r="HU10" s="880"/>
      <c r="HV10" s="880"/>
      <c r="HW10" s="880"/>
      <c r="HX10" s="880"/>
      <c r="HY10" s="880"/>
      <c r="HZ10" s="880"/>
      <c r="IA10" s="880"/>
      <c r="IB10" s="880"/>
      <c r="IC10" s="880"/>
      <c r="ID10" s="880"/>
      <c r="IE10" s="880"/>
      <c r="IF10" s="880"/>
      <c r="IG10" s="880"/>
      <c r="IH10" s="880"/>
      <c r="II10" s="880"/>
      <c r="IJ10" s="880"/>
      <c r="IK10" s="880"/>
      <c r="IL10" s="880"/>
      <c r="IM10" s="880"/>
      <c r="IN10" s="880"/>
      <c r="IO10" s="880"/>
      <c r="IP10" s="880"/>
      <c r="IQ10" s="880"/>
      <c r="IR10" s="880"/>
      <c r="IS10" s="880"/>
      <c r="IT10" s="880"/>
      <c r="IU10" s="880"/>
      <c r="IV10" s="880"/>
      <c r="IW10" s="880"/>
      <c r="IX10" s="880"/>
      <c r="IY10" s="880"/>
      <c r="IZ10" s="880"/>
      <c r="JA10" s="880"/>
      <c r="JB10" s="880"/>
      <c r="JC10" s="880"/>
      <c r="JD10" s="880"/>
      <c r="JE10" s="880"/>
      <c r="JF10" s="880"/>
      <c r="JG10" s="880"/>
      <c r="JH10" s="880"/>
      <c r="JI10" s="880"/>
      <c r="JJ10" s="880"/>
      <c r="JK10" s="880"/>
      <c r="JL10" s="880"/>
      <c r="JM10" s="880"/>
      <c r="JN10" s="880"/>
      <c r="JO10" s="880"/>
      <c r="JP10" s="880"/>
      <c r="JQ10" s="880"/>
      <c r="JR10" s="880"/>
      <c r="JS10" s="880"/>
      <c r="JT10" s="880"/>
      <c r="JU10" s="880"/>
      <c r="JV10" s="880"/>
      <c r="JW10" s="880"/>
      <c r="JX10" s="880"/>
      <c r="JY10" s="880"/>
      <c r="JZ10" s="880"/>
      <c r="KA10" s="880"/>
      <c r="KB10" s="880"/>
      <c r="KC10" s="880"/>
      <c r="KD10" s="880"/>
      <c r="KE10" s="880"/>
      <c r="KF10" s="880"/>
      <c r="KG10" s="880"/>
      <c r="KH10" s="880"/>
      <c r="KI10" s="880"/>
      <c r="KJ10" s="880"/>
      <c r="KK10" s="880"/>
      <c r="KL10" s="880"/>
      <c r="KM10" s="880"/>
      <c r="KN10" s="880"/>
      <c r="KO10" s="880"/>
      <c r="KP10" s="880"/>
      <c r="KQ10" s="880"/>
      <c r="KR10" s="880"/>
      <c r="KS10" s="880"/>
      <c r="KT10" s="880"/>
      <c r="KU10" s="880"/>
      <c r="KV10" s="880"/>
      <c r="KW10" s="880"/>
      <c r="KX10" s="880"/>
      <c r="KY10" s="880"/>
      <c r="KZ10" s="880"/>
      <c r="LA10" s="880"/>
      <c r="LB10" s="880"/>
      <c r="LC10" s="880"/>
      <c r="LD10" s="880"/>
      <c r="LE10" s="880"/>
      <c r="LF10" s="880"/>
      <c r="LG10" s="880"/>
      <c r="LH10" s="880"/>
      <c r="LI10" s="880"/>
      <c r="LJ10" s="880"/>
      <c r="LK10" s="880"/>
      <c r="LL10" s="880"/>
      <c r="LM10" s="880"/>
      <c r="LN10" s="880"/>
      <c r="LO10" s="880"/>
      <c r="LP10" s="880"/>
      <c r="LQ10" s="880"/>
      <c r="LR10" s="880"/>
      <c r="LS10" s="880"/>
      <c r="LT10" s="880"/>
      <c r="LU10" s="880"/>
      <c r="LV10" s="880"/>
      <c r="LW10" s="880"/>
      <c r="LX10" s="880"/>
      <c r="LY10" s="880"/>
      <c r="LZ10" s="880"/>
      <c r="MA10" s="880"/>
      <c r="MB10" s="880"/>
      <c r="MC10" s="880"/>
      <c r="MD10" s="880"/>
      <c r="ME10" s="880"/>
      <c r="MF10" s="880"/>
      <c r="MG10" s="880"/>
      <c r="MH10" s="880"/>
      <c r="MI10" s="880"/>
      <c r="MJ10" s="880"/>
      <c r="MK10" s="880"/>
      <c r="ML10" s="880"/>
      <c r="MM10" s="880"/>
      <c r="MN10" s="880"/>
      <c r="MO10" s="880"/>
      <c r="MP10" s="880"/>
      <c r="MQ10" s="880"/>
      <c r="MR10" s="880"/>
      <c r="MS10" s="880"/>
      <c r="MT10" s="880"/>
      <c r="MU10" s="880"/>
      <c r="MV10" s="880"/>
      <c r="MW10" s="880"/>
      <c r="MX10" s="880"/>
      <c r="MY10" s="880"/>
      <c r="MZ10" s="880"/>
      <c r="NA10" s="880"/>
      <c r="NB10" s="880"/>
      <c r="NC10" s="880"/>
      <c r="ND10" s="880"/>
      <c r="NE10" s="880"/>
      <c r="NF10" s="880"/>
      <c r="NG10" s="880"/>
      <c r="NH10" s="880"/>
      <c r="NI10" s="880"/>
      <c r="NJ10" s="880"/>
      <c r="NK10" s="880"/>
      <c r="NL10" s="880"/>
      <c r="NM10" s="880"/>
      <c r="NN10" s="880"/>
      <c r="NO10" s="880"/>
      <c r="NP10" s="880"/>
      <c r="NQ10" s="880"/>
      <c r="NR10" s="880"/>
      <c r="NS10" s="880"/>
      <c r="NT10" s="880"/>
      <c r="NU10" s="880"/>
      <c r="NV10" s="880"/>
      <c r="NW10" s="880"/>
      <c r="NX10" s="880"/>
      <c r="NY10" s="880"/>
      <c r="NZ10" s="880"/>
      <c r="OA10" s="880"/>
      <c r="OB10" s="880"/>
      <c r="OC10" s="880"/>
      <c r="OD10" s="880"/>
      <c r="OE10" s="880"/>
      <c r="OF10" s="880"/>
      <c r="OG10" s="880"/>
      <c r="OH10" s="880"/>
      <c r="OI10" s="880"/>
      <c r="OJ10" s="880"/>
      <c r="OK10" s="880"/>
      <c r="OL10" s="880"/>
      <c r="OM10" s="880"/>
      <c r="ON10" s="880"/>
      <c r="OO10" s="880"/>
      <c r="OP10" s="880"/>
      <c r="OQ10" s="880"/>
      <c r="OR10" s="880"/>
      <c r="OS10" s="880"/>
      <c r="OT10" s="880"/>
      <c r="OU10" s="880"/>
      <c r="OV10" s="880"/>
      <c r="OW10" s="880"/>
      <c r="OX10" s="880"/>
      <c r="OY10" s="880"/>
      <c r="OZ10" s="880"/>
      <c r="PA10" s="880"/>
      <c r="PB10" s="880"/>
      <c r="PC10" s="880"/>
      <c r="PD10" s="880"/>
      <c r="PE10" s="880"/>
      <c r="PF10" s="880"/>
      <c r="PG10" s="880"/>
      <c r="PH10" s="880"/>
      <c r="PI10" s="880"/>
      <c r="PJ10" s="880"/>
      <c r="PK10" s="880"/>
      <c r="PL10" s="880"/>
      <c r="PM10" s="880"/>
      <c r="PN10" s="880"/>
      <c r="PO10" s="880"/>
      <c r="PP10" s="880"/>
      <c r="PQ10" s="880"/>
      <c r="PR10" s="880"/>
      <c r="PS10" s="880"/>
      <c r="PT10" s="880"/>
      <c r="PU10" s="880"/>
      <c r="PV10" s="880"/>
      <c r="PW10" s="880"/>
      <c r="PX10" s="880"/>
      <c r="PY10" s="880"/>
      <c r="PZ10" s="880"/>
      <c r="QA10" s="880"/>
      <c r="QB10" s="880"/>
      <c r="QC10" s="880"/>
      <c r="QD10" s="880"/>
      <c r="QE10" s="880"/>
      <c r="QF10" s="880"/>
      <c r="QG10" s="880"/>
      <c r="QH10" s="880"/>
      <c r="QI10" s="880"/>
      <c r="QJ10" s="880"/>
      <c r="QK10" s="880"/>
      <c r="QL10" s="880"/>
      <c r="QM10" s="880"/>
      <c r="QN10" s="880"/>
      <c r="QO10" s="880"/>
      <c r="QP10" s="880"/>
      <c r="QQ10" s="880"/>
      <c r="QR10" s="880"/>
      <c r="QS10" s="880"/>
      <c r="QT10" s="880"/>
      <c r="QU10" s="880"/>
      <c r="QV10" s="880"/>
      <c r="QW10" s="880"/>
      <c r="QX10" s="880"/>
      <c r="QY10" s="880"/>
      <c r="QZ10" s="880"/>
      <c r="RA10" s="880"/>
      <c r="RB10" s="880"/>
      <c r="RC10" s="880"/>
      <c r="RD10" s="880"/>
      <c r="RE10" s="880"/>
      <c r="RF10" s="880"/>
      <c r="RG10" s="880"/>
      <c r="RH10" s="880"/>
      <c r="RI10" s="880"/>
      <c r="RJ10" s="880"/>
      <c r="RK10" s="880"/>
      <c r="RL10" s="880"/>
      <c r="RM10" s="880"/>
      <c r="RN10" s="880"/>
      <c r="RO10" s="880"/>
      <c r="RP10" s="880"/>
      <c r="RQ10" s="880"/>
      <c r="RR10" s="880"/>
      <c r="RS10" s="880"/>
      <c r="RT10" s="880"/>
      <c r="RU10" s="880"/>
      <c r="RV10" s="880"/>
      <c r="RW10" s="880"/>
      <c r="RX10" s="880"/>
      <c r="RY10" s="880"/>
      <c r="RZ10" s="880"/>
      <c r="SA10" s="880"/>
      <c r="SB10" s="880"/>
      <c r="SC10" s="880"/>
      <c r="SD10" s="880"/>
      <c r="SE10" s="880"/>
      <c r="SF10" s="880"/>
      <c r="SG10" s="880"/>
      <c r="SH10" s="880"/>
      <c r="SI10" s="880"/>
      <c r="SJ10" s="880"/>
      <c r="SK10" s="880"/>
      <c r="SL10" s="880"/>
      <c r="SM10" s="880"/>
      <c r="SN10" s="880"/>
      <c r="SO10" s="880"/>
      <c r="SP10" s="880"/>
      <c r="SQ10" s="880"/>
      <c r="SR10" s="880"/>
      <c r="SS10" s="880"/>
      <c r="ST10" s="880"/>
      <c r="SU10" s="880"/>
      <c r="SV10" s="880"/>
      <c r="SW10" s="880"/>
      <c r="SX10" s="880"/>
      <c r="SY10" s="880"/>
      <c r="SZ10" s="880"/>
      <c r="TA10" s="880"/>
      <c r="TB10" s="880"/>
      <c r="TC10" s="880"/>
      <c r="TD10" s="880"/>
      <c r="TE10" s="880"/>
      <c r="TF10" s="880"/>
      <c r="TG10" s="880"/>
      <c r="TH10" s="880"/>
      <c r="TI10" s="880"/>
      <c r="TJ10" s="880"/>
      <c r="TK10" s="880"/>
      <c r="TL10" s="880"/>
      <c r="TM10" s="880"/>
      <c r="TN10" s="880"/>
      <c r="TO10" s="880"/>
      <c r="TP10" s="880"/>
      <c r="TQ10" s="880"/>
      <c r="TR10" s="880"/>
      <c r="TS10" s="880"/>
      <c r="TT10" s="880"/>
      <c r="TU10" s="880"/>
      <c r="TV10" s="880"/>
      <c r="TW10" s="880"/>
      <c r="TX10" s="880"/>
      <c r="TY10" s="880"/>
      <c r="TZ10" s="880"/>
      <c r="UA10" s="880"/>
      <c r="UB10" s="880"/>
      <c r="UC10" s="880"/>
      <c r="UD10" s="880"/>
      <c r="UE10" s="880"/>
      <c r="UF10" s="880"/>
      <c r="UG10" s="880"/>
      <c r="UH10" s="880"/>
      <c r="UI10" s="880"/>
      <c r="UJ10" s="880"/>
      <c r="UK10" s="880"/>
      <c r="UL10" s="880"/>
      <c r="UM10" s="880"/>
      <c r="UN10" s="880"/>
      <c r="UO10" s="880"/>
      <c r="UP10" s="880"/>
      <c r="UQ10" s="880"/>
      <c r="UR10" s="880"/>
      <c r="US10" s="880"/>
      <c r="UT10" s="880"/>
      <c r="UU10" s="880"/>
      <c r="UV10" s="880"/>
      <c r="UW10" s="880"/>
      <c r="UX10" s="880"/>
      <c r="UY10" s="880"/>
      <c r="UZ10" s="880"/>
      <c r="VA10" s="880"/>
      <c r="VB10" s="880"/>
      <c r="VC10" s="880"/>
      <c r="VD10" s="880"/>
      <c r="VE10" s="880"/>
      <c r="VF10" s="880"/>
      <c r="VG10" s="880"/>
      <c r="VH10" s="880"/>
      <c r="VI10" s="880"/>
      <c r="VJ10" s="880"/>
      <c r="VK10" s="880"/>
      <c r="VL10" s="880"/>
      <c r="VM10" s="880"/>
      <c r="VN10" s="880"/>
      <c r="VO10" s="880"/>
      <c r="VP10" s="880"/>
      <c r="VQ10" s="880"/>
      <c r="VR10" s="880"/>
      <c r="VS10" s="880"/>
      <c r="VT10" s="880"/>
      <c r="VU10" s="880"/>
      <c r="VV10" s="880"/>
      <c r="VW10" s="880"/>
      <c r="VX10" s="880"/>
      <c r="VY10" s="880"/>
      <c r="VZ10" s="880"/>
      <c r="WA10" s="880"/>
      <c r="WB10" s="880"/>
      <c r="WC10" s="880"/>
      <c r="WD10" s="880"/>
      <c r="WE10" s="880"/>
      <c r="WF10" s="880"/>
      <c r="WG10" s="880"/>
      <c r="WH10" s="880"/>
      <c r="WI10" s="880"/>
      <c r="WJ10" s="880"/>
      <c r="WK10" s="880"/>
      <c r="WL10" s="880"/>
      <c r="WM10" s="880"/>
      <c r="WN10" s="880"/>
      <c r="WO10" s="880"/>
      <c r="WP10" s="880"/>
      <c r="WQ10" s="880"/>
      <c r="WR10" s="880"/>
      <c r="WS10" s="880"/>
      <c r="WT10" s="880"/>
      <c r="WU10" s="880"/>
      <c r="WV10" s="880"/>
      <c r="WW10" s="880"/>
      <c r="WX10" s="880"/>
      <c r="WY10" s="880"/>
      <c r="WZ10" s="880"/>
      <c r="XA10" s="880"/>
      <c r="XB10" s="880"/>
      <c r="XC10" s="880"/>
      <c r="XD10" s="880"/>
      <c r="XE10" s="880"/>
      <c r="XF10" s="880"/>
      <c r="XG10" s="880"/>
      <c r="XH10" s="880"/>
      <c r="XI10" s="880"/>
      <c r="XJ10" s="880"/>
      <c r="XK10" s="880"/>
      <c r="XL10" s="880"/>
      <c r="XM10" s="880"/>
      <c r="XN10" s="880"/>
      <c r="XO10" s="880"/>
      <c r="XP10" s="880"/>
      <c r="XQ10" s="880"/>
      <c r="XR10" s="880"/>
      <c r="XS10" s="880"/>
      <c r="XT10" s="880"/>
      <c r="XU10" s="880"/>
      <c r="XV10" s="880"/>
      <c r="XW10" s="880"/>
      <c r="XX10" s="880"/>
      <c r="XY10" s="880"/>
      <c r="XZ10" s="880"/>
      <c r="YA10" s="880"/>
      <c r="YB10" s="880"/>
      <c r="YC10" s="880"/>
      <c r="YD10" s="880"/>
      <c r="YE10" s="880"/>
      <c r="YF10" s="880"/>
      <c r="YG10" s="880"/>
      <c r="YH10" s="880"/>
      <c r="YI10" s="880"/>
      <c r="YJ10" s="880"/>
      <c r="YK10" s="880"/>
      <c r="YL10" s="880"/>
      <c r="YM10" s="880"/>
      <c r="YN10" s="880"/>
      <c r="YO10" s="880"/>
      <c r="YP10" s="880"/>
      <c r="YQ10" s="880"/>
      <c r="YR10" s="880"/>
      <c r="YS10" s="880"/>
      <c r="YT10" s="880"/>
      <c r="YU10" s="880"/>
      <c r="YV10" s="880"/>
      <c r="YW10" s="880"/>
      <c r="YX10" s="880"/>
      <c r="YY10" s="880"/>
      <c r="YZ10" s="880"/>
      <c r="ZA10" s="880"/>
      <c r="ZB10" s="880"/>
      <c r="ZC10" s="880"/>
      <c r="ZD10" s="880"/>
      <c r="ZE10" s="880"/>
      <c r="ZF10" s="880"/>
      <c r="ZG10" s="880"/>
      <c r="ZH10" s="880"/>
      <c r="ZI10" s="880"/>
      <c r="ZJ10" s="880"/>
      <c r="ZK10" s="880"/>
      <c r="ZL10" s="880"/>
      <c r="ZM10" s="880"/>
      <c r="ZN10" s="880"/>
      <c r="ZO10" s="880"/>
      <c r="ZP10" s="880"/>
      <c r="ZQ10" s="880"/>
      <c r="ZR10" s="880"/>
      <c r="ZS10" s="880"/>
      <c r="ZT10" s="880"/>
      <c r="ZU10" s="880"/>
      <c r="ZV10" s="880"/>
      <c r="ZW10" s="880"/>
      <c r="ZX10" s="880"/>
      <c r="ZY10" s="880"/>
      <c r="ZZ10" s="880"/>
      <c r="AAA10" s="880"/>
      <c r="AAB10" s="880"/>
      <c r="AAC10" s="880"/>
      <c r="AAD10" s="880"/>
      <c r="AAE10" s="880"/>
      <c r="AAF10" s="880"/>
      <c r="AAG10" s="880"/>
      <c r="AAH10" s="880"/>
      <c r="AAI10" s="880"/>
      <c r="AAJ10" s="880"/>
      <c r="AAK10" s="880"/>
      <c r="AAL10" s="880"/>
      <c r="AAM10" s="880"/>
      <c r="AAN10" s="880"/>
      <c r="AAO10" s="880"/>
      <c r="AAP10" s="880"/>
      <c r="AAQ10" s="880"/>
      <c r="AAR10" s="880"/>
      <c r="AAS10" s="880"/>
      <c r="AAT10" s="880"/>
      <c r="AAU10" s="880"/>
      <c r="AAV10" s="880"/>
      <c r="AAW10" s="880"/>
      <c r="AAX10" s="880"/>
      <c r="AAY10" s="880"/>
      <c r="AAZ10" s="880"/>
      <c r="ABA10" s="880"/>
      <c r="ABB10" s="880"/>
      <c r="ABC10" s="880"/>
      <c r="ABD10" s="880"/>
      <c r="ABE10" s="880"/>
      <c r="ABF10" s="880"/>
      <c r="ABG10" s="880"/>
      <c r="ABH10" s="880"/>
      <c r="ABI10" s="880"/>
      <c r="ABJ10" s="880"/>
      <c r="ABK10" s="880"/>
      <c r="ABL10" s="880"/>
      <c r="ABM10" s="880"/>
      <c r="ABN10" s="880"/>
      <c r="ABO10" s="880"/>
      <c r="ABP10" s="880"/>
      <c r="ABQ10" s="880"/>
      <c r="ABR10" s="880"/>
      <c r="ABS10" s="880"/>
      <c r="ABT10" s="880"/>
      <c r="ABU10" s="880"/>
      <c r="ABV10" s="880"/>
      <c r="ABW10" s="880"/>
      <c r="ABX10" s="880"/>
      <c r="ABY10" s="880"/>
      <c r="ABZ10" s="880"/>
      <c r="ACA10" s="880"/>
      <c r="ACB10" s="880"/>
      <c r="ACC10" s="880"/>
      <c r="ACD10" s="880"/>
      <c r="ACE10" s="880"/>
      <c r="ACF10" s="880"/>
      <c r="ACG10" s="880"/>
      <c r="ACH10" s="880"/>
      <c r="ACI10" s="880"/>
      <c r="ACJ10" s="880"/>
      <c r="ACK10" s="880"/>
      <c r="ACL10" s="880"/>
      <c r="ACM10" s="880"/>
      <c r="ACN10" s="880"/>
      <c r="ACO10" s="880"/>
      <c r="ACP10" s="880"/>
      <c r="ACQ10" s="880"/>
      <c r="ACR10" s="880"/>
      <c r="ACS10" s="880"/>
      <c r="ACT10" s="880"/>
      <c r="ACU10" s="880"/>
      <c r="ACV10" s="880"/>
      <c r="ACW10" s="880"/>
      <c r="ACX10" s="880"/>
      <c r="ACY10" s="880"/>
      <c r="ACZ10" s="880"/>
      <c r="ADA10" s="880"/>
      <c r="ADB10" s="880"/>
      <c r="ADC10" s="880"/>
      <c r="ADD10" s="880"/>
      <c r="ADE10" s="880"/>
      <c r="ADF10" s="880"/>
      <c r="ADG10" s="880"/>
      <c r="ADH10" s="880"/>
      <c r="ADI10" s="880"/>
      <c r="ADJ10" s="880"/>
      <c r="ADK10" s="880"/>
      <c r="ADL10" s="880"/>
      <c r="ADM10" s="880"/>
      <c r="ADN10" s="880"/>
      <c r="ADO10" s="880"/>
      <c r="ADP10" s="880"/>
      <c r="ADQ10" s="880"/>
      <c r="ADR10" s="880"/>
      <c r="ADS10" s="880"/>
      <c r="ADT10" s="880"/>
      <c r="ADU10" s="880"/>
      <c r="ADV10" s="880"/>
      <c r="ADW10" s="880"/>
      <c r="ADX10" s="880"/>
      <c r="ADY10" s="880"/>
      <c r="ADZ10" s="880"/>
      <c r="AEA10" s="880"/>
      <c r="AEB10" s="880"/>
      <c r="AEC10" s="880"/>
      <c r="AED10" s="880"/>
      <c r="AEE10" s="880"/>
      <c r="AEF10" s="880"/>
      <c r="AEG10" s="880"/>
      <c r="AEH10" s="880"/>
      <c r="AEI10" s="880"/>
      <c r="AEJ10" s="880"/>
      <c r="AEK10" s="880"/>
      <c r="AEL10" s="880"/>
      <c r="AEM10" s="880"/>
      <c r="AEN10" s="880"/>
      <c r="AEO10" s="880"/>
      <c r="AEP10" s="880"/>
      <c r="AEQ10" s="880"/>
      <c r="AER10" s="880"/>
      <c r="AES10" s="880"/>
      <c r="AET10" s="880"/>
      <c r="AEU10" s="880"/>
      <c r="AEV10" s="880"/>
      <c r="AEW10" s="880"/>
      <c r="AEX10" s="880"/>
      <c r="AEY10" s="880"/>
      <c r="AEZ10" s="880"/>
      <c r="AFA10" s="880"/>
      <c r="AFB10" s="880"/>
      <c r="AFC10" s="880"/>
      <c r="AFD10" s="880"/>
      <c r="AFE10" s="880"/>
      <c r="AFF10" s="880"/>
      <c r="AFG10" s="880"/>
      <c r="AFH10" s="880"/>
      <c r="AFI10" s="880"/>
      <c r="AFJ10" s="880"/>
      <c r="AFK10" s="880"/>
      <c r="AFL10" s="880"/>
      <c r="AFM10" s="880"/>
      <c r="AFN10" s="880"/>
      <c r="AFO10" s="880"/>
      <c r="AFP10" s="880"/>
      <c r="AFQ10" s="880"/>
      <c r="AFR10" s="880"/>
      <c r="AFS10" s="880"/>
      <c r="AFT10" s="880"/>
      <c r="AFU10" s="880"/>
      <c r="AFV10" s="880"/>
      <c r="AFW10" s="880"/>
      <c r="AFX10" s="880"/>
      <c r="AFY10" s="880"/>
      <c r="AFZ10" s="880"/>
      <c r="AGA10" s="880"/>
      <c r="AGB10" s="880"/>
      <c r="AGC10" s="880"/>
      <c r="AGD10" s="880"/>
      <c r="AGE10" s="880"/>
      <c r="AGF10" s="880"/>
      <c r="AGG10" s="880"/>
      <c r="AGH10" s="880"/>
      <c r="AGI10" s="880"/>
      <c r="AGJ10" s="880"/>
      <c r="AGK10" s="880"/>
      <c r="AGL10" s="880"/>
      <c r="AGM10" s="880"/>
      <c r="AGN10" s="880"/>
      <c r="AGO10" s="880"/>
      <c r="AGP10" s="880"/>
      <c r="AGQ10" s="880"/>
      <c r="AGR10" s="880"/>
      <c r="AGS10" s="880"/>
      <c r="AGT10" s="880"/>
      <c r="AGU10" s="880"/>
      <c r="AGV10" s="880"/>
      <c r="AGW10" s="880"/>
      <c r="AGX10" s="880"/>
      <c r="AGY10" s="880"/>
      <c r="AGZ10" s="880"/>
      <c r="AHA10" s="880"/>
      <c r="AHB10" s="880"/>
      <c r="AHC10" s="880"/>
      <c r="AHD10" s="880"/>
      <c r="AHE10" s="880"/>
      <c r="AHF10" s="880"/>
      <c r="AHG10" s="880"/>
      <c r="AHH10" s="880"/>
      <c r="AHI10" s="880"/>
      <c r="AHJ10" s="880"/>
      <c r="AHK10" s="880"/>
      <c r="AHL10" s="880"/>
      <c r="AHM10" s="880"/>
      <c r="AHN10" s="880"/>
      <c r="AHO10" s="880"/>
      <c r="AHP10" s="880"/>
      <c r="AHQ10" s="880"/>
      <c r="AHR10" s="880"/>
      <c r="AHS10" s="880"/>
      <c r="AHT10" s="880"/>
      <c r="AHU10" s="880"/>
      <c r="AHV10" s="880"/>
      <c r="AHW10" s="880"/>
      <c r="AHX10" s="880"/>
      <c r="AHY10" s="880"/>
      <c r="AHZ10" s="880"/>
      <c r="AIA10" s="880"/>
      <c r="AIB10" s="880"/>
      <c r="AIC10" s="880"/>
      <c r="AID10" s="880"/>
      <c r="AIE10" s="880"/>
      <c r="AIF10" s="880"/>
      <c r="AIG10" s="880"/>
      <c r="AIH10" s="880"/>
      <c r="AII10" s="880"/>
      <c r="AIJ10" s="880"/>
      <c r="AIK10" s="880"/>
      <c r="AIL10" s="880"/>
      <c r="AIM10" s="880"/>
      <c r="AIN10" s="880"/>
      <c r="AIO10" s="880"/>
      <c r="AIP10" s="880"/>
      <c r="AIQ10" s="880"/>
      <c r="AIR10" s="880"/>
      <c r="AIS10" s="880"/>
      <c r="AIT10" s="880"/>
      <c r="AIU10" s="880"/>
      <c r="AIV10" s="880"/>
      <c r="AIW10" s="880"/>
      <c r="AIX10" s="880"/>
      <c r="AIY10" s="880"/>
      <c r="AIZ10" s="880"/>
      <c r="AJA10" s="880"/>
      <c r="AJB10" s="880"/>
      <c r="AJC10" s="880"/>
      <c r="AJD10" s="880"/>
      <c r="AJE10" s="880"/>
      <c r="AJF10" s="880"/>
      <c r="AJG10" s="880"/>
      <c r="AJH10" s="880"/>
      <c r="AJI10" s="880"/>
      <c r="AJJ10" s="880"/>
      <c r="AJK10" s="880"/>
      <c r="AJL10" s="880"/>
      <c r="AJM10" s="880"/>
      <c r="AJN10" s="880"/>
      <c r="AJO10" s="880"/>
      <c r="AJP10" s="880"/>
      <c r="AJQ10" s="880"/>
      <c r="AJR10" s="880"/>
      <c r="AJS10" s="880"/>
      <c r="AJT10" s="880"/>
      <c r="AJU10" s="880"/>
      <c r="AJV10" s="880"/>
      <c r="AJW10" s="880"/>
      <c r="AJX10" s="880"/>
      <c r="AJY10" s="880"/>
      <c r="AJZ10" s="880"/>
      <c r="AKA10" s="880"/>
      <c r="AKB10" s="880"/>
      <c r="AKC10" s="880"/>
      <c r="AKD10" s="880"/>
      <c r="AKE10" s="880"/>
      <c r="AKF10" s="880"/>
      <c r="AKG10" s="880"/>
      <c r="AKH10" s="880"/>
      <c r="AKI10" s="880"/>
      <c r="AKJ10" s="880"/>
      <c r="AKK10" s="880"/>
      <c r="AKL10" s="880"/>
      <c r="AKM10" s="880"/>
      <c r="AKN10" s="880"/>
      <c r="AKO10" s="880"/>
      <c r="AKP10" s="880"/>
      <c r="AKQ10" s="880"/>
      <c r="AKR10" s="880"/>
      <c r="AKS10" s="880"/>
      <c r="AKT10" s="880"/>
      <c r="AKU10" s="880"/>
      <c r="AKV10" s="880"/>
      <c r="AKW10" s="880"/>
    </row>
    <row r="11" spans="1:985" ht="21" customHeight="1" x14ac:dyDescent="0.3">
      <c r="A11" s="880"/>
      <c r="B11" s="880"/>
      <c r="C11" s="884"/>
      <c r="D11" s="884"/>
      <c r="E11" s="294"/>
      <c r="F11" s="1105" t="s">
        <v>59</v>
      </c>
      <c r="G11" s="1106"/>
      <c r="H11" s="1107"/>
      <c r="I11" s="1074" t="e">
        <f>VLOOKUP($C$10,'Pile Data'!$E$3:$J$34,6,FALSE)</f>
        <v>#N/A</v>
      </c>
      <c r="J11" s="1075"/>
      <c r="K11" s="450"/>
      <c r="L11" s="1103"/>
      <c r="M11" s="1104"/>
      <c r="N11" s="452"/>
      <c r="O11" s="452"/>
      <c r="P11" s="452"/>
      <c r="Q11" s="292"/>
      <c r="R11" s="292"/>
      <c r="S11" s="880"/>
      <c r="T11" s="880"/>
      <c r="U11" s="880"/>
      <c r="V11" s="749"/>
      <c r="W11" s="749"/>
      <c r="X11" s="880"/>
      <c r="Y11" s="880"/>
      <c r="Z11" s="880"/>
      <c r="AA11" s="880"/>
      <c r="AB11" s="880"/>
      <c r="AC11" s="880"/>
      <c r="AD11" s="880"/>
      <c r="AE11" s="880"/>
      <c r="AF11" s="880"/>
      <c r="AG11" s="880"/>
      <c r="AH11" s="880"/>
      <c r="AI11" s="880"/>
      <c r="AJ11" s="880"/>
      <c r="AK11" s="880"/>
      <c r="AL11" s="880"/>
      <c r="AM11" s="880"/>
      <c r="AN11" s="880"/>
      <c r="AO11" s="880"/>
      <c r="AP11" s="880"/>
      <c r="AQ11" s="880"/>
      <c r="AR11" s="880"/>
      <c r="AS11" s="880"/>
      <c r="AT11" s="880"/>
      <c r="AU11" s="880"/>
      <c r="AV11" s="880"/>
      <c r="AW11" s="880"/>
      <c r="AX11" s="880"/>
      <c r="AY11" s="880"/>
      <c r="AZ11" s="880"/>
      <c r="BA11" s="880"/>
      <c r="BB11" s="880"/>
      <c r="BC11" s="880"/>
      <c r="BD11" s="880"/>
      <c r="BE11" s="880"/>
      <c r="BF11" s="880"/>
      <c r="BG11" s="880"/>
      <c r="BH11" s="880"/>
      <c r="BI11" s="880"/>
      <c r="BJ11" s="880"/>
      <c r="BK11" s="880"/>
      <c r="BL11" s="880"/>
      <c r="BM11" s="880"/>
      <c r="BN11" s="880"/>
      <c r="BO11" s="880"/>
      <c r="BP11" s="880"/>
      <c r="BQ11" s="880"/>
      <c r="BR11" s="880"/>
      <c r="BS11" s="880"/>
      <c r="BT11" s="880"/>
      <c r="BU11" s="880"/>
      <c r="BV11" s="880"/>
      <c r="BW11" s="880"/>
      <c r="BX11" s="880"/>
      <c r="BY11" s="880"/>
      <c r="BZ11" s="880"/>
      <c r="CA11" s="880"/>
      <c r="CB11" s="880"/>
      <c r="CC11" s="880"/>
      <c r="CD11" s="880"/>
      <c r="CE11" s="880"/>
      <c r="CF11" s="880"/>
      <c r="CG11" s="880"/>
      <c r="CH11" s="880"/>
      <c r="CI11" s="880"/>
      <c r="CJ11" s="880"/>
      <c r="CK11" s="880"/>
      <c r="CL11" s="880"/>
      <c r="CM11" s="880"/>
      <c r="CN11" s="880"/>
      <c r="CO11" s="880"/>
      <c r="CP11" s="880"/>
      <c r="CQ11" s="880"/>
      <c r="CR11" s="880"/>
      <c r="CS11" s="880"/>
      <c r="CT11" s="880"/>
      <c r="CU11" s="880"/>
      <c r="CV11" s="880"/>
      <c r="CW11" s="880"/>
      <c r="CX11" s="880"/>
      <c r="CY11" s="880"/>
      <c r="CZ11" s="880"/>
      <c r="DA11" s="880"/>
      <c r="DB11" s="880"/>
      <c r="DC11" s="880"/>
      <c r="DD11" s="880"/>
      <c r="DE11" s="880"/>
      <c r="DF11" s="880"/>
      <c r="DG11" s="880"/>
      <c r="DH11" s="880"/>
      <c r="DI11" s="880"/>
      <c r="DJ11" s="880"/>
      <c r="DK11" s="880"/>
      <c r="DL11" s="880"/>
      <c r="DM11" s="880"/>
      <c r="DN11" s="880"/>
      <c r="DO11" s="880"/>
      <c r="DP11" s="880"/>
      <c r="DQ11" s="880"/>
      <c r="DR11" s="880"/>
      <c r="DS11" s="880"/>
      <c r="DT11" s="880"/>
      <c r="DU11" s="880"/>
      <c r="DV11" s="880"/>
      <c r="DW11" s="880"/>
      <c r="DX11" s="880"/>
      <c r="DY11" s="880"/>
      <c r="DZ11" s="880"/>
      <c r="EA11" s="880"/>
      <c r="EB11" s="880"/>
      <c r="EC11" s="880"/>
      <c r="ED11" s="880"/>
      <c r="EE11" s="880"/>
      <c r="EF11" s="880"/>
      <c r="EG11" s="880"/>
      <c r="EH11" s="880"/>
      <c r="EI11" s="880"/>
      <c r="EJ11" s="880"/>
      <c r="EK11" s="880"/>
      <c r="EL11" s="880"/>
      <c r="EM11" s="880"/>
      <c r="EN11" s="880"/>
      <c r="EO11" s="880"/>
      <c r="EP11" s="880"/>
      <c r="EQ11" s="880"/>
      <c r="ER11" s="880"/>
      <c r="ES11" s="880"/>
      <c r="ET11" s="880"/>
      <c r="EU11" s="880"/>
      <c r="EV11" s="880"/>
      <c r="EW11" s="880"/>
      <c r="EX11" s="880"/>
      <c r="EY11" s="880"/>
      <c r="EZ11" s="880"/>
      <c r="FA11" s="880"/>
      <c r="FB11" s="880"/>
      <c r="FC11" s="880"/>
      <c r="FD11" s="880"/>
      <c r="FE11" s="880"/>
      <c r="FF11" s="880"/>
      <c r="FG11" s="880"/>
      <c r="FH11" s="880"/>
      <c r="FI11" s="880"/>
      <c r="FJ11" s="880"/>
      <c r="FK11" s="880"/>
      <c r="FL11" s="880"/>
      <c r="FM11" s="880"/>
      <c r="FN11" s="880"/>
      <c r="FO11" s="880"/>
      <c r="FP11" s="880"/>
      <c r="FQ11" s="880"/>
      <c r="FR11" s="880"/>
      <c r="FS11" s="880"/>
      <c r="FT11" s="880"/>
      <c r="FU11" s="880"/>
      <c r="FV11" s="880"/>
      <c r="FW11" s="880"/>
      <c r="FX11" s="880"/>
      <c r="FY11" s="880"/>
      <c r="FZ11" s="880"/>
      <c r="GA11" s="880"/>
      <c r="GB11" s="880"/>
      <c r="GC11" s="880"/>
      <c r="GD11" s="880"/>
      <c r="GE11" s="880"/>
      <c r="GF11" s="880"/>
      <c r="GG11" s="880"/>
      <c r="GH11" s="880"/>
      <c r="GI11" s="880"/>
      <c r="GJ11" s="880"/>
      <c r="GK11" s="880"/>
      <c r="GL11" s="880"/>
      <c r="GM11" s="880"/>
      <c r="GN11" s="880"/>
      <c r="GO11" s="880"/>
      <c r="GP11" s="880"/>
      <c r="GQ11" s="880"/>
      <c r="GR11" s="880"/>
      <c r="GS11" s="880"/>
      <c r="GT11" s="880"/>
      <c r="GU11" s="880"/>
      <c r="GV11" s="880"/>
      <c r="GW11" s="880"/>
      <c r="GX11" s="880"/>
      <c r="GY11" s="880"/>
      <c r="GZ11" s="880"/>
      <c r="HA11" s="880"/>
      <c r="HB11" s="880"/>
      <c r="HC11" s="880"/>
      <c r="HD11" s="880"/>
      <c r="HE11" s="880"/>
      <c r="HF11" s="880"/>
      <c r="HG11" s="880"/>
      <c r="HH11" s="880"/>
      <c r="HI11" s="880"/>
      <c r="HJ11" s="880"/>
      <c r="HK11" s="880"/>
      <c r="HL11" s="880"/>
      <c r="HM11" s="880"/>
      <c r="HN11" s="880"/>
      <c r="HO11" s="880"/>
      <c r="HP11" s="880"/>
      <c r="HQ11" s="880"/>
      <c r="HR11" s="880"/>
      <c r="HS11" s="880"/>
      <c r="HT11" s="880"/>
      <c r="HU11" s="880"/>
      <c r="HV11" s="880"/>
      <c r="HW11" s="880"/>
      <c r="HX11" s="880"/>
      <c r="HY11" s="880"/>
      <c r="HZ11" s="880"/>
      <c r="IA11" s="880"/>
      <c r="IB11" s="880"/>
      <c r="IC11" s="880"/>
      <c r="ID11" s="880"/>
      <c r="IE11" s="880"/>
      <c r="IF11" s="880"/>
      <c r="IG11" s="880"/>
      <c r="IH11" s="880"/>
      <c r="II11" s="880"/>
      <c r="IJ11" s="880"/>
      <c r="IK11" s="880"/>
      <c r="IL11" s="880"/>
      <c r="IM11" s="880"/>
      <c r="IN11" s="880"/>
      <c r="IO11" s="880"/>
      <c r="IP11" s="880"/>
      <c r="IQ11" s="880"/>
      <c r="IR11" s="880"/>
      <c r="IS11" s="880"/>
      <c r="IT11" s="880"/>
      <c r="IU11" s="880"/>
      <c r="IV11" s="880"/>
      <c r="IW11" s="880"/>
      <c r="IX11" s="880"/>
      <c r="IY11" s="880"/>
      <c r="IZ11" s="880"/>
      <c r="JA11" s="880"/>
      <c r="JB11" s="880"/>
      <c r="JC11" s="880"/>
      <c r="JD11" s="880"/>
      <c r="JE11" s="880"/>
      <c r="JF11" s="880"/>
      <c r="JG11" s="880"/>
      <c r="JH11" s="880"/>
      <c r="JI11" s="880"/>
      <c r="JJ11" s="880"/>
      <c r="JK11" s="880"/>
      <c r="JL11" s="880"/>
      <c r="JM11" s="880"/>
      <c r="JN11" s="880"/>
      <c r="JO11" s="880"/>
      <c r="JP11" s="880"/>
      <c r="JQ11" s="880"/>
      <c r="JR11" s="880"/>
      <c r="JS11" s="880"/>
      <c r="JT11" s="880"/>
      <c r="JU11" s="880"/>
      <c r="JV11" s="880"/>
      <c r="JW11" s="880"/>
      <c r="JX11" s="880"/>
      <c r="JY11" s="880"/>
      <c r="JZ11" s="880"/>
      <c r="KA11" s="880"/>
      <c r="KB11" s="880"/>
      <c r="KC11" s="880"/>
      <c r="KD11" s="880"/>
      <c r="KE11" s="880"/>
      <c r="KF11" s="880"/>
      <c r="KG11" s="880"/>
      <c r="KH11" s="880"/>
      <c r="KI11" s="880"/>
      <c r="KJ11" s="880"/>
      <c r="KK11" s="880"/>
      <c r="KL11" s="880"/>
      <c r="KM11" s="880"/>
      <c r="KN11" s="880"/>
      <c r="KO11" s="880"/>
      <c r="KP11" s="880"/>
      <c r="KQ11" s="880"/>
      <c r="KR11" s="880"/>
      <c r="KS11" s="880"/>
      <c r="KT11" s="880"/>
      <c r="KU11" s="880"/>
      <c r="KV11" s="880"/>
      <c r="KW11" s="880"/>
      <c r="KX11" s="880"/>
      <c r="KY11" s="880"/>
      <c r="KZ11" s="880"/>
      <c r="LA11" s="880"/>
      <c r="LB11" s="880"/>
      <c r="LC11" s="880"/>
      <c r="LD11" s="880"/>
      <c r="LE11" s="880"/>
      <c r="LF11" s="880"/>
      <c r="LG11" s="880"/>
      <c r="LH11" s="880"/>
      <c r="LI11" s="880"/>
      <c r="LJ11" s="880"/>
      <c r="LK11" s="880"/>
      <c r="LL11" s="880"/>
      <c r="LM11" s="880"/>
      <c r="LN11" s="880"/>
      <c r="LO11" s="880"/>
      <c r="LP11" s="880"/>
      <c r="LQ11" s="880"/>
      <c r="LR11" s="880"/>
      <c r="LS11" s="880"/>
      <c r="LT11" s="880"/>
      <c r="LU11" s="880"/>
      <c r="LV11" s="880"/>
      <c r="LW11" s="880"/>
      <c r="LX11" s="880"/>
      <c r="LY11" s="880"/>
      <c r="LZ11" s="880"/>
      <c r="MA11" s="880"/>
      <c r="MB11" s="880"/>
      <c r="MC11" s="880"/>
      <c r="MD11" s="880"/>
      <c r="ME11" s="880"/>
      <c r="MF11" s="880"/>
      <c r="MG11" s="880"/>
      <c r="MH11" s="880"/>
      <c r="MI11" s="880"/>
      <c r="MJ11" s="880"/>
      <c r="MK11" s="880"/>
      <c r="ML11" s="880"/>
      <c r="MM11" s="880"/>
      <c r="MN11" s="880"/>
      <c r="MO11" s="880"/>
      <c r="MP11" s="880"/>
      <c r="MQ11" s="880"/>
      <c r="MR11" s="880"/>
      <c r="MS11" s="880"/>
      <c r="MT11" s="880"/>
      <c r="MU11" s="880"/>
      <c r="MV11" s="880"/>
      <c r="MW11" s="880"/>
      <c r="MX11" s="880"/>
      <c r="MY11" s="880"/>
      <c r="MZ11" s="880"/>
      <c r="NA11" s="880"/>
      <c r="NB11" s="880"/>
      <c r="NC11" s="880"/>
      <c r="ND11" s="880"/>
      <c r="NE11" s="880"/>
      <c r="NF11" s="880"/>
      <c r="NG11" s="880"/>
      <c r="NH11" s="880"/>
      <c r="NI11" s="880"/>
      <c r="NJ11" s="880"/>
      <c r="NK11" s="880"/>
      <c r="NL11" s="880"/>
      <c r="NM11" s="880"/>
      <c r="NN11" s="880"/>
      <c r="NO11" s="880"/>
      <c r="NP11" s="880"/>
      <c r="NQ11" s="880"/>
      <c r="NR11" s="880"/>
      <c r="NS11" s="880"/>
      <c r="NT11" s="880"/>
      <c r="NU11" s="880"/>
      <c r="NV11" s="880"/>
      <c r="NW11" s="880"/>
      <c r="NX11" s="880"/>
      <c r="NY11" s="880"/>
      <c r="NZ11" s="880"/>
      <c r="OA11" s="880"/>
      <c r="OB11" s="880"/>
      <c r="OC11" s="880"/>
      <c r="OD11" s="880"/>
      <c r="OE11" s="880"/>
      <c r="OF11" s="880"/>
      <c r="OG11" s="880"/>
      <c r="OH11" s="880"/>
      <c r="OI11" s="880"/>
      <c r="OJ11" s="880"/>
      <c r="OK11" s="880"/>
      <c r="OL11" s="880"/>
      <c r="OM11" s="880"/>
      <c r="ON11" s="880"/>
      <c r="OO11" s="880"/>
      <c r="OP11" s="880"/>
      <c r="OQ11" s="880"/>
      <c r="OR11" s="880"/>
      <c r="OS11" s="880"/>
      <c r="OT11" s="880"/>
      <c r="OU11" s="880"/>
      <c r="OV11" s="880"/>
      <c r="OW11" s="880"/>
      <c r="OX11" s="880"/>
      <c r="OY11" s="880"/>
      <c r="OZ11" s="880"/>
      <c r="PA11" s="880"/>
      <c r="PB11" s="880"/>
      <c r="PC11" s="880"/>
      <c r="PD11" s="880"/>
      <c r="PE11" s="880"/>
      <c r="PF11" s="880"/>
      <c r="PG11" s="880"/>
      <c r="PH11" s="880"/>
      <c r="PI11" s="880"/>
      <c r="PJ11" s="880"/>
      <c r="PK11" s="880"/>
      <c r="PL11" s="880"/>
      <c r="PM11" s="880"/>
      <c r="PN11" s="880"/>
      <c r="PO11" s="880"/>
      <c r="PP11" s="880"/>
      <c r="PQ11" s="880"/>
      <c r="PR11" s="880"/>
      <c r="PS11" s="880"/>
      <c r="PT11" s="880"/>
      <c r="PU11" s="880"/>
      <c r="PV11" s="880"/>
      <c r="PW11" s="880"/>
      <c r="PX11" s="880"/>
      <c r="PY11" s="880"/>
      <c r="PZ11" s="880"/>
      <c r="QA11" s="880"/>
      <c r="QB11" s="880"/>
      <c r="QC11" s="880"/>
      <c r="QD11" s="880"/>
      <c r="QE11" s="880"/>
      <c r="QF11" s="880"/>
      <c r="QG11" s="880"/>
      <c r="QH11" s="880"/>
      <c r="QI11" s="880"/>
      <c r="QJ11" s="880"/>
      <c r="QK11" s="880"/>
      <c r="QL11" s="880"/>
      <c r="QM11" s="880"/>
      <c r="QN11" s="880"/>
      <c r="QO11" s="880"/>
      <c r="QP11" s="880"/>
      <c r="QQ11" s="880"/>
      <c r="QR11" s="880"/>
      <c r="QS11" s="880"/>
      <c r="QT11" s="880"/>
      <c r="QU11" s="880"/>
      <c r="QV11" s="880"/>
      <c r="QW11" s="880"/>
      <c r="QX11" s="880"/>
      <c r="QY11" s="880"/>
      <c r="QZ11" s="880"/>
      <c r="RA11" s="880"/>
      <c r="RB11" s="880"/>
      <c r="RC11" s="880"/>
      <c r="RD11" s="880"/>
      <c r="RE11" s="880"/>
      <c r="RF11" s="880"/>
      <c r="RG11" s="880"/>
      <c r="RH11" s="880"/>
      <c r="RI11" s="880"/>
      <c r="RJ11" s="880"/>
      <c r="RK11" s="880"/>
      <c r="RL11" s="880"/>
      <c r="RM11" s="880"/>
      <c r="RN11" s="880"/>
      <c r="RO11" s="880"/>
      <c r="RP11" s="880"/>
      <c r="RQ11" s="880"/>
      <c r="RR11" s="880"/>
      <c r="RS11" s="880"/>
      <c r="RT11" s="880"/>
      <c r="RU11" s="880"/>
      <c r="RV11" s="880"/>
      <c r="RW11" s="880"/>
      <c r="RX11" s="880"/>
      <c r="RY11" s="880"/>
      <c r="RZ11" s="880"/>
      <c r="SA11" s="880"/>
      <c r="SB11" s="880"/>
      <c r="SC11" s="880"/>
      <c r="SD11" s="880"/>
      <c r="SE11" s="880"/>
      <c r="SF11" s="880"/>
      <c r="SG11" s="880"/>
      <c r="SH11" s="880"/>
      <c r="SI11" s="880"/>
      <c r="SJ11" s="880"/>
      <c r="SK11" s="880"/>
      <c r="SL11" s="880"/>
      <c r="SM11" s="880"/>
      <c r="SN11" s="880"/>
      <c r="SO11" s="880"/>
      <c r="SP11" s="880"/>
      <c r="SQ11" s="880"/>
      <c r="SR11" s="880"/>
      <c r="SS11" s="880"/>
      <c r="ST11" s="880"/>
      <c r="SU11" s="880"/>
      <c r="SV11" s="880"/>
      <c r="SW11" s="880"/>
      <c r="SX11" s="880"/>
      <c r="SY11" s="880"/>
      <c r="SZ11" s="880"/>
      <c r="TA11" s="880"/>
      <c r="TB11" s="880"/>
      <c r="TC11" s="880"/>
      <c r="TD11" s="880"/>
      <c r="TE11" s="880"/>
      <c r="TF11" s="880"/>
      <c r="TG11" s="880"/>
      <c r="TH11" s="880"/>
      <c r="TI11" s="880"/>
      <c r="TJ11" s="880"/>
      <c r="TK11" s="880"/>
      <c r="TL11" s="880"/>
      <c r="TM11" s="880"/>
      <c r="TN11" s="880"/>
      <c r="TO11" s="880"/>
      <c r="TP11" s="880"/>
      <c r="TQ11" s="880"/>
      <c r="TR11" s="880"/>
      <c r="TS11" s="880"/>
      <c r="TT11" s="880"/>
      <c r="TU11" s="880"/>
      <c r="TV11" s="880"/>
      <c r="TW11" s="880"/>
      <c r="TX11" s="880"/>
      <c r="TY11" s="880"/>
      <c r="TZ11" s="880"/>
      <c r="UA11" s="880"/>
      <c r="UB11" s="880"/>
      <c r="UC11" s="880"/>
      <c r="UD11" s="880"/>
      <c r="UE11" s="880"/>
      <c r="UF11" s="880"/>
      <c r="UG11" s="880"/>
      <c r="UH11" s="880"/>
      <c r="UI11" s="880"/>
      <c r="UJ11" s="880"/>
      <c r="UK11" s="880"/>
      <c r="UL11" s="880"/>
      <c r="UM11" s="880"/>
      <c r="UN11" s="880"/>
      <c r="UO11" s="880"/>
      <c r="UP11" s="880"/>
      <c r="UQ11" s="880"/>
      <c r="UR11" s="880"/>
      <c r="US11" s="880"/>
      <c r="UT11" s="880"/>
      <c r="UU11" s="880"/>
      <c r="UV11" s="880"/>
      <c r="UW11" s="880"/>
      <c r="UX11" s="880"/>
      <c r="UY11" s="880"/>
      <c r="UZ11" s="880"/>
      <c r="VA11" s="880"/>
      <c r="VB11" s="880"/>
      <c r="VC11" s="880"/>
      <c r="VD11" s="880"/>
      <c r="VE11" s="880"/>
      <c r="VF11" s="880"/>
      <c r="VG11" s="880"/>
      <c r="VH11" s="880"/>
      <c r="VI11" s="880"/>
      <c r="VJ11" s="880"/>
      <c r="VK11" s="880"/>
      <c r="VL11" s="880"/>
      <c r="VM11" s="880"/>
      <c r="VN11" s="880"/>
      <c r="VO11" s="880"/>
      <c r="VP11" s="880"/>
      <c r="VQ11" s="880"/>
      <c r="VR11" s="880"/>
      <c r="VS11" s="880"/>
      <c r="VT11" s="880"/>
      <c r="VU11" s="880"/>
      <c r="VV11" s="880"/>
      <c r="VW11" s="880"/>
      <c r="VX11" s="880"/>
      <c r="VY11" s="880"/>
      <c r="VZ11" s="880"/>
      <c r="WA11" s="880"/>
      <c r="WB11" s="880"/>
      <c r="WC11" s="880"/>
      <c r="WD11" s="880"/>
      <c r="WE11" s="880"/>
      <c r="WF11" s="880"/>
      <c r="WG11" s="880"/>
      <c r="WH11" s="880"/>
      <c r="WI11" s="880"/>
      <c r="WJ11" s="880"/>
      <c r="WK11" s="880"/>
      <c r="WL11" s="880"/>
      <c r="WM11" s="880"/>
      <c r="WN11" s="880"/>
      <c r="WO11" s="880"/>
      <c r="WP11" s="880"/>
      <c r="WQ11" s="880"/>
      <c r="WR11" s="880"/>
      <c r="WS11" s="880"/>
      <c r="WT11" s="880"/>
      <c r="WU11" s="880"/>
      <c r="WV11" s="880"/>
      <c r="WW11" s="880"/>
      <c r="WX11" s="880"/>
      <c r="WY11" s="880"/>
      <c r="WZ11" s="880"/>
      <c r="XA11" s="880"/>
      <c r="XB11" s="880"/>
      <c r="XC11" s="880"/>
      <c r="XD11" s="880"/>
      <c r="XE11" s="880"/>
      <c r="XF11" s="880"/>
      <c r="XG11" s="880"/>
      <c r="XH11" s="880"/>
      <c r="XI11" s="880"/>
      <c r="XJ11" s="880"/>
      <c r="XK11" s="880"/>
      <c r="XL11" s="880"/>
      <c r="XM11" s="880"/>
      <c r="XN11" s="880"/>
      <c r="XO11" s="880"/>
      <c r="XP11" s="880"/>
      <c r="XQ11" s="880"/>
      <c r="XR11" s="880"/>
      <c r="XS11" s="880"/>
      <c r="XT11" s="880"/>
      <c r="XU11" s="880"/>
      <c r="XV11" s="880"/>
      <c r="XW11" s="880"/>
      <c r="XX11" s="880"/>
      <c r="XY11" s="880"/>
      <c r="XZ11" s="880"/>
      <c r="YA11" s="880"/>
      <c r="YB11" s="880"/>
      <c r="YC11" s="880"/>
      <c r="YD11" s="880"/>
      <c r="YE11" s="880"/>
      <c r="YF11" s="880"/>
      <c r="YG11" s="880"/>
      <c r="YH11" s="880"/>
      <c r="YI11" s="880"/>
      <c r="YJ11" s="880"/>
      <c r="YK11" s="880"/>
      <c r="YL11" s="880"/>
      <c r="YM11" s="880"/>
      <c r="YN11" s="880"/>
      <c r="YO11" s="880"/>
      <c r="YP11" s="880"/>
      <c r="YQ11" s="880"/>
      <c r="YR11" s="880"/>
      <c r="YS11" s="880"/>
      <c r="YT11" s="880"/>
      <c r="YU11" s="880"/>
      <c r="YV11" s="880"/>
      <c r="YW11" s="880"/>
      <c r="YX11" s="880"/>
      <c r="YY11" s="880"/>
      <c r="YZ11" s="880"/>
      <c r="ZA11" s="880"/>
      <c r="ZB11" s="880"/>
      <c r="ZC11" s="880"/>
      <c r="ZD11" s="880"/>
      <c r="ZE11" s="880"/>
      <c r="ZF11" s="880"/>
      <c r="ZG11" s="880"/>
      <c r="ZH11" s="880"/>
      <c r="ZI11" s="880"/>
      <c r="ZJ11" s="880"/>
      <c r="ZK11" s="880"/>
      <c r="ZL11" s="880"/>
      <c r="ZM11" s="880"/>
      <c r="ZN11" s="880"/>
      <c r="ZO11" s="880"/>
      <c r="ZP11" s="880"/>
      <c r="ZQ11" s="880"/>
      <c r="ZR11" s="880"/>
      <c r="ZS11" s="880"/>
      <c r="ZT11" s="880"/>
      <c r="ZU11" s="880"/>
      <c r="ZV11" s="880"/>
      <c r="ZW11" s="880"/>
      <c r="ZX11" s="880"/>
      <c r="ZY11" s="880"/>
      <c r="ZZ11" s="880"/>
      <c r="AAA11" s="880"/>
      <c r="AAB11" s="880"/>
      <c r="AAC11" s="880"/>
      <c r="AAD11" s="880"/>
      <c r="AAE11" s="880"/>
      <c r="AAF11" s="880"/>
      <c r="AAG11" s="880"/>
      <c r="AAH11" s="880"/>
      <c r="AAI11" s="880"/>
      <c r="AAJ11" s="880"/>
      <c r="AAK11" s="880"/>
      <c r="AAL11" s="880"/>
      <c r="AAM11" s="880"/>
      <c r="AAN11" s="880"/>
      <c r="AAO11" s="880"/>
      <c r="AAP11" s="880"/>
      <c r="AAQ11" s="880"/>
      <c r="AAR11" s="880"/>
      <c r="AAS11" s="880"/>
      <c r="AAT11" s="880"/>
      <c r="AAU11" s="880"/>
      <c r="AAV11" s="880"/>
      <c r="AAW11" s="880"/>
      <c r="AAX11" s="880"/>
      <c r="AAY11" s="880"/>
      <c r="AAZ11" s="880"/>
      <c r="ABA11" s="880"/>
      <c r="ABB11" s="880"/>
      <c r="ABC11" s="880"/>
      <c r="ABD11" s="880"/>
      <c r="ABE11" s="880"/>
      <c r="ABF11" s="880"/>
      <c r="ABG11" s="880"/>
      <c r="ABH11" s="880"/>
      <c r="ABI11" s="880"/>
      <c r="ABJ11" s="880"/>
      <c r="ABK11" s="880"/>
      <c r="ABL11" s="880"/>
      <c r="ABM11" s="880"/>
      <c r="ABN11" s="880"/>
      <c r="ABO11" s="880"/>
      <c r="ABP11" s="880"/>
      <c r="ABQ11" s="880"/>
      <c r="ABR11" s="880"/>
      <c r="ABS11" s="880"/>
      <c r="ABT11" s="880"/>
      <c r="ABU11" s="880"/>
      <c r="ABV11" s="880"/>
      <c r="ABW11" s="880"/>
      <c r="ABX11" s="880"/>
      <c r="ABY11" s="880"/>
      <c r="ABZ11" s="880"/>
      <c r="ACA11" s="880"/>
      <c r="ACB11" s="880"/>
      <c r="ACC11" s="880"/>
      <c r="ACD11" s="880"/>
      <c r="ACE11" s="880"/>
      <c r="ACF11" s="880"/>
      <c r="ACG11" s="880"/>
      <c r="ACH11" s="880"/>
      <c r="ACI11" s="880"/>
      <c r="ACJ11" s="880"/>
      <c r="ACK11" s="880"/>
      <c r="ACL11" s="880"/>
      <c r="ACM11" s="880"/>
      <c r="ACN11" s="880"/>
      <c r="ACO11" s="880"/>
      <c r="ACP11" s="880"/>
      <c r="ACQ11" s="880"/>
      <c r="ACR11" s="880"/>
      <c r="ACS11" s="880"/>
      <c r="ACT11" s="880"/>
      <c r="ACU11" s="880"/>
      <c r="ACV11" s="880"/>
      <c r="ACW11" s="880"/>
      <c r="ACX11" s="880"/>
      <c r="ACY11" s="880"/>
      <c r="ACZ11" s="880"/>
      <c r="ADA11" s="880"/>
      <c r="ADB11" s="880"/>
      <c r="ADC11" s="880"/>
      <c r="ADD11" s="880"/>
      <c r="ADE11" s="880"/>
      <c r="ADF11" s="880"/>
      <c r="ADG11" s="880"/>
      <c r="ADH11" s="880"/>
      <c r="ADI11" s="880"/>
      <c r="ADJ11" s="880"/>
      <c r="ADK11" s="880"/>
      <c r="ADL11" s="880"/>
      <c r="ADM11" s="880"/>
      <c r="ADN11" s="880"/>
      <c r="ADO11" s="880"/>
      <c r="ADP11" s="880"/>
      <c r="ADQ11" s="880"/>
      <c r="ADR11" s="880"/>
      <c r="ADS11" s="880"/>
      <c r="ADT11" s="880"/>
      <c r="ADU11" s="880"/>
      <c r="ADV11" s="880"/>
      <c r="ADW11" s="880"/>
      <c r="ADX11" s="880"/>
      <c r="ADY11" s="880"/>
      <c r="ADZ11" s="880"/>
      <c r="AEA11" s="880"/>
      <c r="AEB11" s="880"/>
      <c r="AEC11" s="880"/>
      <c r="AED11" s="880"/>
      <c r="AEE11" s="880"/>
      <c r="AEF11" s="880"/>
      <c r="AEG11" s="880"/>
      <c r="AEH11" s="880"/>
      <c r="AEI11" s="880"/>
      <c r="AEJ11" s="880"/>
      <c r="AEK11" s="880"/>
      <c r="AEL11" s="880"/>
      <c r="AEM11" s="880"/>
      <c r="AEN11" s="880"/>
      <c r="AEO11" s="880"/>
      <c r="AEP11" s="880"/>
      <c r="AEQ11" s="880"/>
      <c r="AER11" s="880"/>
      <c r="AES11" s="880"/>
      <c r="AET11" s="880"/>
      <c r="AEU11" s="880"/>
      <c r="AEV11" s="880"/>
      <c r="AEW11" s="880"/>
      <c r="AEX11" s="880"/>
      <c r="AEY11" s="880"/>
      <c r="AEZ11" s="880"/>
      <c r="AFA11" s="880"/>
      <c r="AFB11" s="880"/>
      <c r="AFC11" s="880"/>
      <c r="AFD11" s="880"/>
      <c r="AFE11" s="880"/>
      <c r="AFF11" s="880"/>
      <c r="AFG11" s="880"/>
      <c r="AFH11" s="880"/>
      <c r="AFI11" s="880"/>
      <c r="AFJ11" s="880"/>
      <c r="AFK11" s="880"/>
      <c r="AFL11" s="880"/>
      <c r="AFM11" s="880"/>
      <c r="AFN11" s="880"/>
      <c r="AFO11" s="880"/>
      <c r="AFP11" s="880"/>
      <c r="AFQ11" s="880"/>
      <c r="AFR11" s="880"/>
      <c r="AFS11" s="880"/>
      <c r="AFT11" s="880"/>
      <c r="AFU11" s="880"/>
      <c r="AFV11" s="880"/>
      <c r="AFW11" s="880"/>
      <c r="AFX11" s="880"/>
      <c r="AFY11" s="880"/>
      <c r="AFZ11" s="880"/>
      <c r="AGA11" s="880"/>
      <c r="AGB11" s="880"/>
      <c r="AGC11" s="880"/>
      <c r="AGD11" s="880"/>
      <c r="AGE11" s="880"/>
      <c r="AGF11" s="880"/>
      <c r="AGG11" s="880"/>
      <c r="AGH11" s="880"/>
      <c r="AGI11" s="880"/>
      <c r="AGJ11" s="880"/>
      <c r="AGK11" s="880"/>
      <c r="AGL11" s="880"/>
      <c r="AGM11" s="880"/>
      <c r="AGN11" s="880"/>
      <c r="AGO11" s="880"/>
      <c r="AGP11" s="880"/>
      <c r="AGQ11" s="880"/>
      <c r="AGR11" s="880"/>
      <c r="AGS11" s="880"/>
      <c r="AGT11" s="880"/>
      <c r="AGU11" s="880"/>
      <c r="AGV11" s="880"/>
      <c r="AGW11" s="880"/>
      <c r="AGX11" s="880"/>
      <c r="AGY11" s="880"/>
      <c r="AGZ11" s="880"/>
      <c r="AHA11" s="880"/>
      <c r="AHB11" s="880"/>
      <c r="AHC11" s="880"/>
      <c r="AHD11" s="880"/>
      <c r="AHE11" s="880"/>
      <c r="AHF11" s="880"/>
      <c r="AHG11" s="880"/>
      <c r="AHH11" s="880"/>
      <c r="AHI11" s="880"/>
      <c r="AHJ11" s="880"/>
      <c r="AHK11" s="880"/>
      <c r="AHL11" s="880"/>
      <c r="AHM11" s="880"/>
      <c r="AHN11" s="880"/>
      <c r="AHO11" s="880"/>
      <c r="AHP11" s="880"/>
      <c r="AHQ11" s="880"/>
      <c r="AHR11" s="880"/>
      <c r="AHS11" s="880"/>
      <c r="AHT11" s="880"/>
      <c r="AHU11" s="880"/>
      <c r="AHV11" s="880"/>
      <c r="AHW11" s="880"/>
      <c r="AHX11" s="880"/>
      <c r="AHY11" s="880"/>
      <c r="AHZ11" s="880"/>
      <c r="AIA11" s="880"/>
      <c r="AIB11" s="880"/>
      <c r="AIC11" s="880"/>
      <c r="AID11" s="880"/>
      <c r="AIE11" s="880"/>
      <c r="AIF11" s="880"/>
      <c r="AIG11" s="880"/>
      <c r="AIH11" s="880"/>
      <c r="AII11" s="880"/>
      <c r="AIJ11" s="880"/>
      <c r="AIK11" s="880"/>
      <c r="AIL11" s="880"/>
      <c r="AIM11" s="880"/>
      <c r="AIN11" s="880"/>
      <c r="AIO11" s="880"/>
      <c r="AIP11" s="880"/>
      <c r="AIQ11" s="880"/>
      <c r="AIR11" s="880"/>
      <c r="AIS11" s="880"/>
      <c r="AIT11" s="880"/>
      <c r="AIU11" s="880"/>
      <c r="AIV11" s="880"/>
      <c r="AIW11" s="880"/>
      <c r="AIX11" s="880"/>
      <c r="AIY11" s="880"/>
      <c r="AIZ11" s="880"/>
      <c r="AJA11" s="880"/>
      <c r="AJB11" s="880"/>
      <c r="AJC11" s="880"/>
      <c r="AJD11" s="880"/>
      <c r="AJE11" s="880"/>
      <c r="AJF11" s="880"/>
      <c r="AJG11" s="880"/>
      <c r="AJH11" s="880"/>
      <c r="AJI11" s="880"/>
      <c r="AJJ11" s="880"/>
      <c r="AJK11" s="880"/>
      <c r="AJL11" s="880"/>
      <c r="AJM11" s="880"/>
      <c r="AJN11" s="880"/>
      <c r="AJO11" s="880"/>
      <c r="AJP11" s="880"/>
      <c r="AJQ11" s="880"/>
      <c r="AJR11" s="880"/>
      <c r="AJS11" s="880"/>
      <c r="AJT11" s="880"/>
      <c r="AJU11" s="880"/>
      <c r="AJV11" s="880"/>
      <c r="AJW11" s="880"/>
      <c r="AJX11" s="880"/>
      <c r="AJY11" s="880"/>
      <c r="AJZ11" s="880"/>
      <c r="AKA11" s="880"/>
      <c r="AKB11" s="880"/>
      <c r="AKC11" s="880"/>
      <c r="AKD11" s="880"/>
      <c r="AKE11" s="880"/>
      <c r="AKF11" s="880"/>
      <c r="AKG11" s="880"/>
      <c r="AKH11" s="880"/>
      <c r="AKI11" s="880"/>
      <c r="AKJ11" s="880"/>
      <c r="AKK11" s="880"/>
      <c r="AKL11" s="880"/>
      <c r="AKM11" s="880"/>
      <c r="AKN11" s="880"/>
      <c r="AKO11" s="880"/>
      <c r="AKP11" s="880"/>
      <c r="AKQ11" s="880"/>
      <c r="AKR11" s="880"/>
      <c r="AKS11" s="880"/>
      <c r="AKT11" s="880"/>
      <c r="AKU11" s="880"/>
      <c r="AKV11" s="880"/>
      <c r="AKW11" s="880"/>
    </row>
    <row r="12" spans="1:985" ht="6.75" customHeight="1" thickBot="1" x14ac:dyDescent="0.4">
      <c r="A12" s="880"/>
      <c r="B12" s="880"/>
      <c r="C12" s="880"/>
      <c r="D12" s="880"/>
      <c r="E12" s="292"/>
      <c r="F12" s="880"/>
      <c r="G12" s="422"/>
      <c r="H12" s="422"/>
      <c r="I12" s="427"/>
      <c r="J12" s="428"/>
      <c r="K12" s="451"/>
      <c r="L12" s="428"/>
      <c r="M12" s="880"/>
      <c r="N12" s="880"/>
      <c r="O12" s="880"/>
      <c r="Q12" s="979"/>
      <c r="R12" s="880"/>
      <c r="S12" s="880"/>
      <c r="T12" s="880"/>
      <c r="U12" s="880"/>
      <c r="V12" s="749"/>
      <c r="W12" s="749"/>
      <c r="X12" s="880"/>
      <c r="Y12" s="880"/>
      <c r="Z12" s="880"/>
      <c r="AA12" s="880"/>
      <c r="AB12" s="880"/>
      <c r="AC12" s="880"/>
      <c r="AD12" s="880"/>
      <c r="AE12" s="880"/>
      <c r="AF12" s="880"/>
      <c r="AG12" s="880"/>
      <c r="AH12" s="880"/>
      <c r="AI12" s="880"/>
      <c r="AJ12" s="880"/>
      <c r="AK12" s="880"/>
      <c r="AL12" s="880"/>
      <c r="AM12" s="880"/>
      <c r="AN12" s="880"/>
      <c r="AO12" s="880"/>
      <c r="AP12" s="880"/>
      <c r="AQ12" s="880"/>
      <c r="AR12" s="880"/>
      <c r="AS12" s="880"/>
      <c r="AT12" s="880"/>
      <c r="AU12" s="880"/>
      <c r="AV12" s="880"/>
      <c r="AW12" s="880"/>
      <c r="AX12" s="880"/>
      <c r="AY12" s="880"/>
      <c r="AZ12" s="880"/>
      <c r="BA12" s="880"/>
      <c r="BB12" s="880"/>
      <c r="BC12" s="880"/>
      <c r="BD12" s="880"/>
      <c r="BE12" s="880"/>
      <c r="BF12" s="880"/>
      <c r="BG12" s="880"/>
      <c r="BH12" s="880"/>
      <c r="BI12" s="880"/>
      <c r="BJ12" s="880"/>
      <c r="BK12" s="880"/>
      <c r="BL12" s="880"/>
      <c r="BM12" s="880"/>
      <c r="BN12" s="880"/>
      <c r="BO12" s="880"/>
      <c r="BP12" s="880"/>
      <c r="BQ12" s="880"/>
      <c r="BR12" s="880"/>
      <c r="BS12" s="880"/>
      <c r="BT12" s="880"/>
      <c r="BU12" s="880"/>
      <c r="BV12" s="880"/>
      <c r="BW12" s="880"/>
      <c r="BX12" s="880"/>
      <c r="BY12" s="880"/>
      <c r="BZ12" s="880"/>
      <c r="CA12" s="880"/>
      <c r="CB12" s="880"/>
      <c r="CC12" s="880"/>
      <c r="CD12" s="880"/>
      <c r="CE12" s="880"/>
      <c r="CF12" s="880"/>
      <c r="CG12" s="880"/>
      <c r="CH12" s="880"/>
      <c r="CI12" s="880"/>
      <c r="CJ12" s="880"/>
      <c r="CK12" s="880"/>
      <c r="CL12" s="880"/>
      <c r="CM12" s="880"/>
      <c r="CN12" s="880"/>
      <c r="CO12" s="880"/>
      <c r="CP12" s="880"/>
      <c r="CQ12" s="880"/>
      <c r="CR12" s="880"/>
      <c r="CS12" s="880"/>
      <c r="CT12" s="880"/>
      <c r="CU12" s="880"/>
      <c r="CV12" s="880"/>
      <c r="CW12" s="880"/>
      <c r="CX12" s="880"/>
      <c r="CY12" s="880"/>
      <c r="CZ12" s="880"/>
      <c r="DA12" s="880"/>
      <c r="DB12" s="880"/>
      <c r="DC12" s="880"/>
      <c r="DD12" s="880"/>
      <c r="DE12" s="880"/>
      <c r="DF12" s="880"/>
      <c r="DG12" s="880"/>
      <c r="DH12" s="880"/>
      <c r="DI12" s="880"/>
      <c r="DJ12" s="880"/>
      <c r="DK12" s="880"/>
      <c r="DL12" s="880"/>
      <c r="DM12" s="880"/>
      <c r="DN12" s="880"/>
      <c r="DO12" s="880"/>
      <c r="DP12" s="880"/>
      <c r="DQ12" s="880"/>
      <c r="DR12" s="880"/>
      <c r="DS12" s="880"/>
      <c r="DT12" s="880"/>
      <c r="DU12" s="880"/>
      <c r="DV12" s="880"/>
      <c r="DW12" s="880"/>
      <c r="DX12" s="880"/>
      <c r="DY12" s="880"/>
      <c r="DZ12" s="880"/>
      <c r="EA12" s="880"/>
      <c r="EB12" s="880"/>
      <c r="EC12" s="880"/>
      <c r="ED12" s="880"/>
      <c r="EE12" s="880"/>
      <c r="EF12" s="880"/>
      <c r="EG12" s="880"/>
      <c r="EH12" s="880"/>
      <c r="EI12" s="880"/>
      <c r="EJ12" s="880"/>
      <c r="EK12" s="880"/>
      <c r="EL12" s="880"/>
      <c r="EM12" s="880"/>
      <c r="EN12" s="880"/>
      <c r="EO12" s="880"/>
      <c r="EP12" s="880"/>
      <c r="EQ12" s="880"/>
      <c r="ER12" s="880"/>
      <c r="ES12" s="880"/>
      <c r="ET12" s="880"/>
      <c r="EU12" s="880"/>
      <c r="EV12" s="880"/>
      <c r="EW12" s="880"/>
      <c r="EX12" s="880"/>
      <c r="EY12" s="880"/>
      <c r="EZ12" s="880"/>
      <c r="FA12" s="880"/>
      <c r="FB12" s="880"/>
      <c r="FC12" s="880"/>
      <c r="FD12" s="880"/>
      <c r="FE12" s="880"/>
      <c r="FF12" s="880"/>
      <c r="FG12" s="880"/>
      <c r="FH12" s="880"/>
      <c r="FI12" s="880"/>
      <c r="FJ12" s="880"/>
      <c r="FK12" s="880"/>
      <c r="FL12" s="880"/>
      <c r="FM12" s="880"/>
      <c r="FN12" s="880"/>
      <c r="FO12" s="880"/>
      <c r="FP12" s="880"/>
      <c r="FQ12" s="880"/>
      <c r="FR12" s="880"/>
      <c r="FS12" s="880"/>
      <c r="FT12" s="880"/>
      <c r="FU12" s="880"/>
      <c r="FV12" s="880"/>
      <c r="FW12" s="880"/>
      <c r="FX12" s="880"/>
      <c r="FY12" s="880"/>
      <c r="FZ12" s="880"/>
      <c r="GA12" s="880"/>
      <c r="GB12" s="880"/>
      <c r="GC12" s="880"/>
      <c r="GD12" s="880"/>
      <c r="GE12" s="880"/>
      <c r="GF12" s="880"/>
      <c r="GG12" s="880"/>
      <c r="GH12" s="880"/>
      <c r="GI12" s="880"/>
      <c r="GJ12" s="880"/>
      <c r="GK12" s="880"/>
      <c r="GL12" s="880"/>
      <c r="GM12" s="880"/>
      <c r="GN12" s="880"/>
      <c r="GO12" s="880"/>
      <c r="GP12" s="880"/>
      <c r="GQ12" s="880"/>
      <c r="GR12" s="880"/>
      <c r="GS12" s="880"/>
      <c r="GT12" s="880"/>
      <c r="GU12" s="880"/>
      <c r="GV12" s="880"/>
      <c r="GW12" s="880"/>
      <c r="GX12" s="880"/>
      <c r="GY12" s="880"/>
      <c r="GZ12" s="880"/>
      <c r="HA12" s="880"/>
      <c r="HB12" s="880"/>
      <c r="HC12" s="880"/>
      <c r="HD12" s="880"/>
      <c r="HE12" s="880"/>
      <c r="HF12" s="880"/>
      <c r="HG12" s="880"/>
      <c r="HH12" s="880"/>
      <c r="HI12" s="880"/>
      <c r="HJ12" s="880"/>
      <c r="HK12" s="880"/>
      <c r="HL12" s="880"/>
      <c r="HM12" s="880"/>
      <c r="HN12" s="880"/>
      <c r="HO12" s="880"/>
      <c r="HP12" s="880"/>
      <c r="HQ12" s="880"/>
      <c r="HR12" s="880"/>
      <c r="HS12" s="880"/>
      <c r="HT12" s="880"/>
      <c r="HU12" s="880"/>
      <c r="HV12" s="880"/>
      <c r="HW12" s="880"/>
      <c r="HX12" s="880"/>
      <c r="HY12" s="880"/>
      <c r="HZ12" s="880"/>
      <c r="IA12" s="880"/>
      <c r="IB12" s="880"/>
      <c r="IC12" s="880"/>
      <c r="ID12" s="880"/>
      <c r="IE12" s="880"/>
      <c r="IF12" s="880"/>
      <c r="IG12" s="880"/>
      <c r="IH12" s="880"/>
      <c r="II12" s="880"/>
      <c r="IJ12" s="880"/>
      <c r="IK12" s="880"/>
      <c r="IL12" s="880"/>
      <c r="IM12" s="880"/>
      <c r="IN12" s="880"/>
      <c r="IO12" s="880"/>
      <c r="IP12" s="880"/>
      <c r="IQ12" s="880"/>
      <c r="IR12" s="880"/>
      <c r="IS12" s="880"/>
      <c r="IT12" s="880"/>
      <c r="IU12" s="880"/>
      <c r="IV12" s="880"/>
      <c r="IW12" s="880"/>
      <c r="IX12" s="880"/>
      <c r="IY12" s="880"/>
      <c r="IZ12" s="880"/>
      <c r="JA12" s="880"/>
      <c r="JB12" s="880"/>
      <c r="JC12" s="880"/>
      <c r="JD12" s="880"/>
      <c r="JE12" s="880"/>
      <c r="JF12" s="880"/>
      <c r="JG12" s="880"/>
      <c r="JH12" s="880"/>
      <c r="JI12" s="880"/>
      <c r="JJ12" s="880"/>
      <c r="JK12" s="880"/>
      <c r="JL12" s="880"/>
      <c r="JM12" s="880"/>
      <c r="JN12" s="880"/>
      <c r="JO12" s="880"/>
      <c r="JP12" s="880"/>
      <c r="JQ12" s="880"/>
      <c r="JR12" s="880"/>
      <c r="JS12" s="880"/>
      <c r="JT12" s="880"/>
      <c r="JU12" s="880"/>
      <c r="JV12" s="880"/>
      <c r="JW12" s="880"/>
      <c r="JX12" s="880"/>
      <c r="JY12" s="880"/>
      <c r="JZ12" s="880"/>
      <c r="KA12" s="880"/>
      <c r="KB12" s="880"/>
      <c r="KC12" s="880"/>
      <c r="KD12" s="880"/>
      <c r="KE12" s="880"/>
      <c r="KF12" s="880"/>
      <c r="KG12" s="880"/>
      <c r="KH12" s="880"/>
      <c r="KI12" s="880"/>
      <c r="KJ12" s="880"/>
      <c r="KK12" s="880"/>
      <c r="KL12" s="880"/>
      <c r="KM12" s="880"/>
      <c r="KN12" s="880"/>
      <c r="KO12" s="880"/>
      <c r="KP12" s="880"/>
      <c r="KQ12" s="880"/>
      <c r="KR12" s="880"/>
      <c r="KS12" s="880"/>
      <c r="KT12" s="880"/>
      <c r="KU12" s="880"/>
      <c r="KV12" s="880"/>
      <c r="KW12" s="880"/>
      <c r="KX12" s="880"/>
      <c r="KY12" s="880"/>
      <c r="KZ12" s="880"/>
      <c r="LA12" s="880"/>
      <c r="LB12" s="880"/>
      <c r="LC12" s="880"/>
      <c r="LD12" s="880"/>
      <c r="LE12" s="880"/>
      <c r="LF12" s="880"/>
      <c r="LG12" s="880"/>
      <c r="LH12" s="880"/>
      <c r="LI12" s="880"/>
      <c r="LJ12" s="880"/>
      <c r="LK12" s="880"/>
      <c r="LL12" s="880"/>
      <c r="LM12" s="880"/>
      <c r="LN12" s="880"/>
      <c r="LO12" s="880"/>
      <c r="LP12" s="880"/>
      <c r="LQ12" s="880"/>
      <c r="LR12" s="880"/>
      <c r="LS12" s="880"/>
      <c r="LT12" s="880"/>
      <c r="LU12" s="880"/>
      <c r="LV12" s="880"/>
      <c r="LW12" s="880"/>
      <c r="LX12" s="880"/>
      <c r="LY12" s="880"/>
      <c r="LZ12" s="880"/>
      <c r="MA12" s="880"/>
      <c r="MB12" s="880"/>
      <c r="MC12" s="880"/>
      <c r="MD12" s="880"/>
      <c r="ME12" s="880"/>
      <c r="MF12" s="880"/>
      <c r="MG12" s="880"/>
      <c r="MH12" s="880"/>
      <c r="MI12" s="880"/>
      <c r="MJ12" s="880"/>
      <c r="MK12" s="880"/>
      <c r="ML12" s="880"/>
      <c r="MM12" s="880"/>
      <c r="MN12" s="880"/>
      <c r="MO12" s="880"/>
      <c r="MP12" s="880"/>
      <c r="MQ12" s="880"/>
      <c r="MR12" s="880"/>
      <c r="MS12" s="880"/>
      <c r="MT12" s="880"/>
      <c r="MU12" s="880"/>
      <c r="MV12" s="880"/>
      <c r="MW12" s="880"/>
      <c r="MX12" s="880"/>
      <c r="MY12" s="880"/>
      <c r="MZ12" s="880"/>
      <c r="NA12" s="880"/>
      <c r="NB12" s="880"/>
      <c r="NC12" s="880"/>
      <c r="ND12" s="880"/>
      <c r="NE12" s="880"/>
      <c r="NF12" s="880"/>
      <c r="NG12" s="880"/>
      <c r="NH12" s="880"/>
      <c r="NI12" s="880"/>
      <c r="NJ12" s="880"/>
      <c r="NK12" s="880"/>
      <c r="NL12" s="880"/>
      <c r="NM12" s="880"/>
      <c r="NN12" s="880"/>
      <c r="NO12" s="880"/>
      <c r="NP12" s="880"/>
      <c r="NQ12" s="880"/>
      <c r="NR12" s="880"/>
      <c r="NS12" s="880"/>
      <c r="NT12" s="880"/>
      <c r="NU12" s="880"/>
      <c r="NV12" s="880"/>
      <c r="NW12" s="880"/>
      <c r="NX12" s="880"/>
      <c r="NY12" s="880"/>
      <c r="NZ12" s="880"/>
      <c r="OA12" s="880"/>
      <c r="OB12" s="880"/>
      <c r="OC12" s="880"/>
      <c r="OD12" s="880"/>
      <c r="OE12" s="880"/>
      <c r="OF12" s="880"/>
      <c r="OG12" s="880"/>
      <c r="OH12" s="880"/>
      <c r="OI12" s="880"/>
      <c r="OJ12" s="880"/>
      <c r="OK12" s="880"/>
      <c r="OL12" s="880"/>
      <c r="OM12" s="880"/>
      <c r="ON12" s="880"/>
      <c r="OO12" s="880"/>
      <c r="OP12" s="880"/>
      <c r="OQ12" s="880"/>
      <c r="OR12" s="880"/>
      <c r="OS12" s="880"/>
      <c r="OT12" s="880"/>
      <c r="OU12" s="880"/>
      <c r="OV12" s="880"/>
      <c r="OW12" s="880"/>
      <c r="OX12" s="880"/>
      <c r="OY12" s="880"/>
      <c r="OZ12" s="880"/>
      <c r="PA12" s="880"/>
      <c r="PB12" s="880"/>
      <c r="PC12" s="880"/>
      <c r="PD12" s="880"/>
      <c r="PE12" s="880"/>
      <c r="PF12" s="880"/>
      <c r="PG12" s="880"/>
      <c r="PH12" s="880"/>
      <c r="PI12" s="880"/>
      <c r="PJ12" s="880"/>
      <c r="PK12" s="880"/>
      <c r="PL12" s="880"/>
      <c r="PM12" s="880"/>
      <c r="PN12" s="880"/>
      <c r="PO12" s="880"/>
      <c r="PP12" s="880"/>
      <c r="PQ12" s="880"/>
      <c r="PR12" s="880"/>
      <c r="PS12" s="880"/>
      <c r="PT12" s="880"/>
      <c r="PU12" s="880"/>
      <c r="PV12" s="880"/>
      <c r="PW12" s="880"/>
      <c r="PX12" s="880"/>
      <c r="PY12" s="880"/>
      <c r="PZ12" s="880"/>
      <c r="QA12" s="880"/>
      <c r="QB12" s="880"/>
      <c r="QC12" s="880"/>
      <c r="QD12" s="880"/>
      <c r="QE12" s="880"/>
      <c r="QF12" s="880"/>
      <c r="QG12" s="880"/>
      <c r="QH12" s="880"/>
      <c r="QI12" s="880"/>
      <c r="QJ12" s="880"/>
      <c r="QK12" s="880"/>
      <c r="QL12" s="880"/>
      <c r="QM12" s="880"/>
      <c r="QN12" s="880"/>
      <c r="QO12" s="880"/>
      <c r="QP12" s="880"/>
      <c r="QQ12" s="880"/>
      <c r="QR12" s="880"/>
      <c r="QS12" s="880"/>
      <c r="QT12" s="880"/>
      <c r="QU12" s="880"/>
      <c r="QV12" s="880"/>
      <c r="QW12" s="880"/>
      <c r="QX12" s="880"/>
      <c r="QY12" s="880"/>
      <c r="QZ12" s="880"/>
      <c r="RA12" s="880"/>
      <c r="RB12" s="880"/>
      <c r="RC12" s="880"/>
      <c r="RD12" s="880"/>
      <c r="RE12" s="880"/>
      <c r="RF12" s="880"/>
      <c r="RG12" s="880"/>
      <c r="RH12" s="880"/>
      <c r="RI12" s="880"/>
      <c r="RJ12" s="880"/>
      <c r="RK12" s="880"/>
      <c r="RL12" s="880"/>
      <c r="RM12" s="880"/>
      <c r="RN12" s="880"/>
      <c r="RO12" s="880"/>
      <c r="RP12" s="880"/>
      <c r="RQ12" s="880"/>
      <c r="RR12" s="880"/>
      <c r="RS12" s="880"/>
      <c r="RT12" s="880"/>
      <c r="RU12" s="880"/>
      <c r="RV12" s="880"/>
      <c r="RW12" s="880"/>
      <c r="RX12" s="880"/>
      <c r="RY12" s="880"/>
      <c r="RZ12" s="880"/>
      <c r="SA12" s="880"/>
      <c r="SB12" s="880"/>
      <c r="SC12" s="880"/>
      <c r="SD12" s="880"/>
      <c r="SE12" s="880"/>
      <c r="SF12" s="880"/>
      <c r="SG12" s="880"/>
      <c r="SH12" s="880"/>
      <c r="SI12" s="880"/>
      <c r="SJ12" s="880"/>
      <c r="SK12" s="880"/>
      <c r="SL12" s="880"/>
      <c r="SM12" s="880"/>
      <c r="SN12" s="880"/>
      <c r="SO12" s="880"/>
      <c r="SP12" s="880"/>
      <c r="SQ12" s="880"/>
      <c r="SR12" s="880"/>
      <c r="SS12" s="880"/>
      <c r="ST12" s="880"/>
      <c r="SU12" s="880"/>
      <c r="SV12" s="880"/>
      <c r="SW12" s="880"/>
      <c r="SX12" s="880"/>
      <c r="SY12" s="880"/>
      <c r="SZ12" s="880"/>
      <c r="TA12" s="880"/>
      <c r="TB12" s="880"/>
      <c r="TC12" s="880"/>
      <c r="TD12" s="880"/>
      <c r="TE12" s="880"/>
      <c r="TF12" s="880"/>
      <c r="TG12" s="880"/>
      <c r="TH12" s="880"/>
      <c r="TI12" s="880"/>
      <c r="TJ12" s="880"/>
      <c r="TK12" s="880"/>
      <c r="TL12" s="880"/>
      <c r="TM12" s="880"/>
      <c r="TN12" s="880"/>
      <c r="TO12" s="880"/>
      <c r="TP12" s="880"/>
      <c r="TQ12" s="880"/>
      <c r="TR12" s="880"/>
      <c r="TS12" s="880"/>
      <c r="TT12" s="880"/>
      <c r="TU12" s="880"/>
      <c r="TV12" s="880"/>
      <c r="TW12" s="880"/>
      <c r="TX12" s="880"/>
      <c r="TY12" s="880"/>
      <c r="TZ12" s="880"/>
      <c r="UA12" s="880"/>
      <c r="UB12" s="880"/>
      <c r="UC12" s="880"/>
      <c r="UD12" s="880"/>
      <c r="UE12" s="880"/>
      <c r="UF12" s="880"/>
      <c r="UG12" s="880"/>
      <c r="UH12" s="880"/>
      <c r="UI12" s="880"/>
      <c r="UJ12" s="880"/>
      <c r="UK12" s="880"/>
      <c r="UL12" s="880"/>
      <c r="UM12" s="880"/>
      <c r="UN12" s="880"/>
      <c r="UO12" s="880"/>
      <c r="UP12" s="880"/>
      <c r="UQ12" s="880"/>
      <c r="UR12" s="880"/>
      <c r="US12" s="880"/>
      <c r="UT12" s="880"/>
      <c r="UU12" s="880"/>
      <c r="UV12" s="880"/>
      <c r="UW12" s="880"/>
      <c r="UX12" s="880"/>
      <c r="UY12" s="880"/>
      <c r="UZ12" s="880"/>
      <c r="VA12" s="880"/>
      <c r="VB12" s="880"/>
      <c r="VC12" s="880"/>
      <c r="VD12" s="880"/>
      <c r="VE12" s="880"/>
      <c r="VF12" s="880"/>
      <c r="VG12" s="880"/>
      <c r="VH12" s="880"/>
      <c r="VI12" s="880"/>
      <c r="VJ12" s="880"/>
      <c r="VK12" s="880"/>
      <c r="VL12" s="880"/>
      <c r="VM12" s="880"/>
      <c r="VN12" s="880"/>
      <c r="VO12" s="880"/>
      <c r="VP12" s="880"/>
      <c r="VQ12" s="880"/>
      <c r="VR12" s="880"/>
      <c r="VS12" s="880"/>
      <c r="VT12" s="880"/>
      <c r="VU12" s="880"/>
      <c r="VV12" s="880"/>
      <c r="VW12" s="880"/>
      <c r="VX12" s="880"/>
      <c r="VY12" s="880"/>
      <c r="VZ12" s="880"/>
      <c r="WA12" s="880"/>
      <c r="WB12" s="880"/>
      <c r="WC12" s="880"/>
      <c r="WD12" s="880"/>
      <c r="WE12" s="880"/>
      <c r="WF12" s="880"/>
      <c r="WG12" s="880"/>
      <c r="WH12" s="880"/>
      <c r="WI12" s="880"/>
      <c r="WJ12" s="880"/>
      <c r="WK12" s="880"/>
      <c r="WL12" s="880"/>
      <c r="WM12" s="880"/>
      <c r="WN12" s="880"/>
      <c r="WO12" s="880"/>
      <c r="WP12" s="880"/>
      <c r="WQ12" s="880"/>
      <c r="WR12" s="880"/>
      <c r="WS12" s="880"/>
      <c r="WT12" s="880"/>
      <c r="WU12" s="880"/>
      <c r="WV12" s="880"/>
      <c r="WW12" s="880"/>
      <c r="WX12" s="880"/>
      <c r="WY12" s="880"/>
      <c r="WZ12" s="880"/>
      <c r="XA12" s="880"/>
      <c r="XB12" s="880"/>
      <c r="XC12" s="880"/>
      <c r="XD12" s="880"/>
      <c r="XE12" s="880"/>
      <c r="XF12" s="880"/>
      <c r="XG12" s="880"/>
      <c r="XH12" s="880"/>
      <c r="XI12" s="880"/>
      <c r="XJ12" s="880"/>
      <c r="XK12" s="880"/>
      <c r="XL12" s="880"/>
      <c r="XM12" s="880"/>
      <c r="XN12" s="880"/>
      <c r="XO12" s="880"/>
      <c r="XP12" s="880"/>
      <c r="XQ12" s="880"/>
      <c r="XR12" s="880"/>
      <c r="XS12" s="880"/>
      <c r="XT12" s="880"/>
      <c r="XU12" s="880"/>
      <c r="XV12" s="880"/>
      <c r="XW12" s="880"/>
      <c r="XX12" s="880"/>
      <c r="XY12" s="880"/>
      <c r="XZ12" s="880"/>
      <c r="YA12" s="880"/>
      <c r="YB12" s="880"/>
      <c r="YC12" s="880"/>
      <c r="YD12" s="880"/>
      <c r="YE12" s="880"/>
      <c r="YF12" s="880"/>
      <c r="YG12" s="880"/>
      <c r="YH12" s="880"/>
      <c r="YI12" s="880"/>
      <c r="YJ12" s="880"/>
      <c r="YK12" s="880"/>
      <c r="YL12" s="880"/>
      <c r="YM12" s="880"/>
      <c r="YN12" s="880"/>
      <c r="YO12" s="880"/>
      <c r="YP12" s="880"/>
      <c r="YQ12" s="880"/>
      <c r="YR12" s="880"/>
      <c r="YS12" s="880"/>
      <c r="YT12" s="880"/>
      <c r="YU12" s="880"/>
      <c r="YV12" s="880"/>
      <c r="YW12" s="880"/>
      <c r="YX12" s="880"/>
      <c r="YY12" s="880"/>
      <c r="YZ12" s="880"/>
      <c r="ZA12" s="880"/>
      <c r="ZB12" s="880"/>
      <c r="ZC12" s="880"/>
      <c r="ZD12" s="880"/>
      <c r="ZE12" s="880"/>
      <c r="ZF12" s="880"/>
      <c r="ZG12" s="880"/>
      <c r="ZH12" s="880"/>
      <c r="ZI12" s="880"/>
      <c r="ZJ12" s="880"/>
      <c r="ZK12" s="880"/>
      <c r="ZL12" s="880"/>
      <c r="ZM12" s="880"/>
      <c r="ZN12" s="880"/>
      <c r="ZO12" s="880"/>
      <c r="ZP12" s="880"/>
      <c r="ZQ12" s="880"/>
      <c r="ZR12" s="880"/>
      <c r="ZS12" s="880"/>
      <c r="ZT12" s="880"/>
      <c r="ZU12" s="880"/>
      <c r="ZV12" s="880"/>
      <c r="ZW12" s="880"/>
      <c r="ZX12" s="880"/>
      <c r="ZY12" s="880"/>
      <c r="ZZ12" s="880"/>
      <c r="AAA12" s="880"/>
      <c r="AAB12" s="880"/>
      <c r="AAC12" s="880"/>
      <c r="AAD12" s="880"/>
      <c r="AAE12" s="880"/>
      <c r="AAF12" s="880"/>
      <c r="AAG12" s="880"/>
      <c r="AAH12" s="880"/>
      <c r="AAI12" s="880"/>
      <c r="AAJ12" s="880"/>
      <c r="AAK12" s="880"/>
      <c r="AAL12" s="880"/>
      <c r="AAM12" s="880"/>
      <c r="AAN12" s="880"/>
      <c r="AAO12" s="880"/>
      <c r="AAP12" s="880"/>
      <c r="AAQ12" s="880"/>
      <c r="AAR12" s="880"/>
      <c r="AAS12" s="880"/>
      <c r="AAT12" s="880"/>
      <c r="AAU12" s="880"/>
      <c r="AAV12" s="880"/>
      <c r="AAW12" s="880"/>
      <c r="AAX12" s="880"/>
      <c r="AAY12" s="880"/>
      <c r="AAZ12" s="880"/>
      <c r="ABA12" s="880"/>
      <c r="ABB12" s="880"/>
      <c r="ABC12" s="880"/>
      <c r="ABD12" s="880"/>
      <c r="ABE12" s="880"/>
      <c r="ABF12" s="880"/>
      <c r="ABG12" s="880"/>
      <c r="ABH12" s="880"/>
      <c r="ABI12" s="880"/>
      <c r="ABJ12" s="880"/>
      <c r="ABK12" s="880"/>
      <c r="ABL12" s="880"/>
      <c r="ABM12" s="880"/>
      <c r="ABN12" s="880"/>
      <c r="ABO12" s="880"/>
      <c r="ABP12" s="880"/>
      <c r="ABQ12" s="880"/>
      <c r="ABR12" s="880"/>
      <c r="ABS12" s="880"/>
      <c r="ABT12" s="880"/>
      <c r="ABU12" s="880"/>
      <c r="ABV12" s="880"/>
      <c r="ABW12" s="880"/>
      <c r="ABX12" s="880"/>
      <c r="ABY12" s="880"/>
      <c r="ABZ12" s="880"/>
      <c r="ACA12" s="880"/>
      <c r="ACB12" s="880"/>
      <c r="ACC12" s="880"/>
      <c r="ACD12" s="880"/>
      <c r="ACE12" s="880"/>
      <c r="ACF12" s="880"/>
      <c r="ACG12" s="880"/>
      <c r="ACH12" s="880"/>
      <c r="ACI12" s="880"/>
      <c r="ACJ12" s="880"/>
      <c r="ACK12" s="880"/>
      <c r="ACL12" s="880"/>
      <c r="ACM12" s="880"/>
      <c r="ACN12" s="880"/>
      <c r="ACO12" s="880"/>
      <c r="ACP12" s="880"/>
      <c r="ACQ12" s="880"/>
      <c r="ACR12" s="880"/>
      <c r="ACS12" s="880"/>
      <c r="ACT12" s="880"/>
      <c r="ACU12" s="880"/>
      <c r="ACV12" s="880"/>
      <c r="ACW12" s="880"/>
      <c r="ACX12" s="880"/>
      <c r="ACY12" s="880"/>
      <c r="ACZ12" s="880"/>
      <c r="ADA12" s="880"/>
      <c r="ADB12" s="880"/>
      <c r="ADC12" s="880"/>
      <c r="ADD12" s="880"/>
      <c r="ADE12" s="880"/>
      <c r="ADF12" s="880"/>
      <c r="ADG12" s="880"/>
      <c r="ADH12" s="880"/>
      <c r="ADI12" s="880"/>
      <c r="ADJ12" s="880"/>
      <c r="ADK12" s="880"/>
      <c r="ADL12" s="880"/>
      <c r="ADM12" s="880"/>
      <c r="ADN12" s="880"/>
      <c r="ADO12" s="880"/>
      <c r="ADP12" s="880"/>
      <c r="ADQ12" s="880"/>
      <c r="ADR12" s="880"/>
      <c r="ADS12" s="880"/>
      <c r="ADT12" s="880"/>
      <c r="ADU12" s="880"/>
      <c r="ADV12" s="880"/>
      <c r="ADW12" s="880"/>
      <c r="ADX12" s="880"/>
      <c r="ADY12" s="880"/>
      <c r="ADZ12" s="880"/>
      <c r="AEA12" s="880"/>
      <c r="AEB12" s="880"/>
      <c r="AEC12" s="880"/>
      <c r="AED12" s="880"/>
      <c r="AEE12" s="880"/>
      <c r="AEF12" s="880"/>
      <c r="AEG12" s="880"/>
      <c r="AEH12" s="880"/>
      <c r="AEI12" s="880"/>
      <c r="AEJ12" s="880"/>
      <c r="AEK12" s="880"/>
      <c r="AEL12" s="880"/>
      <c r="AEM12" s="880"/>
      <c r="AEN12" s="880"/>
      <c r="AEO12" s="880"/>
      <c r="AEP12" s="880"/>
      <c r="AEQ12" s="880"/>
      <c r="AER12" s="880"/>
      <c r="AES12" s="880"/>
      <c r="AET12" s="880"/>
      <c r="AEU12" s="880"/>
      <c r="AEV12" s="880"/>
      <c r="AEW12" s="880"/>
      <c r="AEX12" s="880"/>
      <c r="AEY12" s="880"/>
      <c r="AEZ12" s="880"/>
      <c r="AFA12" s="880"/>
      <c r="AFB12" s="880"/>
      <c r="AFC12" s="880"/>
      <c r="AFD12" s="880"/>
      <c r="AFE12" s="880"/>
      <c r="AFF12" s="880"/>
      <c r="AFG12" s="880"/>
      <c r="AFH12" s="880"/>
      <c r="AFI12" s="880"/>
      <c r="AFJ12" s="880"/>
      <c r="AFK12" s="880"/>
      <c r="AFL12" s="880"/>
      <c r="AFM12" s="880"/>
      <c r="AFN12" s="880"/>
      <c r="AFO12" s="880"/>
      <c r="AFP12" s="880"/>
      <c r="AFQ12" s="880"/>
      <c r="AFR12" s="880"/>
      <c r="AFS12" s="880"/>
      <c r="AFT12" s="880"/>
      <c r="AFU12" s="880"/>
      <c r="AFV12" s="880"/>
      <c r="AFW12" s="880"/>
      <c r="AFX12" s="880"/>
      <c r="AFY12" s="880"/>
      <c r="AFZ12" s="880"/>
      <c r="AGA12" s="880"/>
      <c r="AGB12" s="880"/>
      <c r="AGC12" s="880"/>
      <c r="AGD12" s="880"/>
      <c r="AGE12" s="880"/>
      <c r="AGF12" s="880"/>
      <c r="AGG12" s="880"/>
      <c r="AGH12" s="880"/>
      <c r="AGI12" s="880"/>
      <c r="AGJ12" s="880"/>
      <c r="AGK12" s="880"/>
      <c r="AGL12" s="880"/>
      <c r="AGM12" s="880"/>
      <c r="AGN12" s="880"/>
      <c r="AGO12" s="880"/>
      <c r="AGP12" s="880"/>
      <c r="AGQ12" s="880"/>
      <c r="AGR12" s="880"/>
      <c r="AGS12" s="880"/>
      <c r="AGT12" s="880"/>
      <c r="AGU12" s="880"/>
      <c r="AGV12" s="880"/>
      <c r="AGW12" s="880"/>
      <c r="AGX12" s="880"/>
      <c r="AGY12" s="880"/>
      <c r="AGZ12" s="880"/>
      <c r="AHA12" s="880"/>
      <c r="AHB12" s="880"/>
      <c r="AHC12" s="880"/>
      <c r="AHD12" s="880"/>
      <c r="AHE12" s="880"/>
      <c r="AHF12" s="880"/>
      <c r="AHG12" s="880"/>
      <c r="AHH12" s="880"/>
      <c r="AHI12" s="880"/>
      <c r="AHJ12" s="880"/>
      <c r="AHK12" s="880"/>
      <c r="AHL12" s="880"/>
      <c r="AHM12" s="880"/>
      <c r="AHN12" s="880"/>
      <c r="AHO12" s="880"/>
      <c r="AHP12" s="880"/>
      <c r="AHQ12" s="880"/>
      <c r="AHR12" s="880"/>
      <c r="AHS12" s="880"/>
      <c r="AHT12" s="880"/>
      <c r="AHU12" s="880"/>
      <c r="AHV12" s="880"/>
      <c r="AHW12" s="880"/>
      <c r="AHX12" s="880"/>
      <c r="AHY12" s="880"/>
      <c r="AHZ12" s="880"/>
      <c r="AIA12" s="880"/>
      <c r="AIB12" s="880"/>
      <c r="AIC12" s="880"/>
      <c r="AID12" s="880"/>
      <c r="AIE12" s="880"/>
      <c r="AIF12" s="880"/>
      <c r="AIG12" s="880"/>
      <c r="AIH12" s="880"/>
      <c r="AII12" s="880"/>
      <c r="AIJ12" s="880"/>
      <c r="AIK12" s="880"/>
      <c r="AIL12" s="880"/>
      <c r="AIM12" s="880"/>
      <c r="AIN12" s="880"/>
      <c r="AIO12" s="880"/>
      <c r="AIP12" s="880"/>
      <c r="AIQ12" s="880"/>
      <c r="AIR12" s="880"/>
      <c r="AIS12" s="880"/>
      <c r="AIT12" s="880"/>
      <c r="AIU12" s="880"/>
      <c r="AIV12" s="880"/>
      <c r="AIW12" s="880"/>
      <c r="AIX12" s="880"/>
      <c r="AIY12" s="880"/>
      <c r="AIZ12" s="880"/>
      <c r="AJA12" s="880"/>
      <c r="AJB12" s="880"/>
      <c r="AJC12" s="880"/>
      <c r="AJD12" s="880"/>
      <c r="AJE12" s="880"/>
      <c r="AJF12" s="880"/>
      <c r="AJG12" s="880"/>
      <c r="AJH12" s="880"/>
      <c r="AJI12" s="880"/>
      <c r="AJJ12" s="880"/>
      <c r="AJK12" s="880"/>
      <c r="AJL12" s="880"/>
      <c r="AJM12" s="880"/>
      <c r="AJN12" s="880"/>
      <c r="AJO12" s="880"/>
      <c r="AJP12" s="880"/>
      <c r="AJQ12" s="880"/>
      <c r="AJR12" s="880"/>
      <c r="AJS12" s="880"/>
      <c r="AJT12" s="880"/>
      <c r="AJU12" s="880"/>
      <c r="AJV12" s="880"/>
      <c r="AJW12" s="880"/>
      <c r="AJX12" s="880"/>
      <c r="AJY12" s="880"/>
      <c r="AJZ12" s="880"/>
      <c r="AKA12" s="880"/>
      <c r="AKB12" s="880"/>
      <c r="AKC12" s="880"/>
      <c r="AKD12" s="880"/>
      <c r="AKE12" s="880"/>
      <c r="AKF12" s="880"/>
      <c r="AKG12" s="880"/>
      <c r="AKH12" s="880"/>
      <c r="AKI12" s="880"/>
      <c r="AKJ12" s="880"/>
      <c r="AKK12" s="880"/>
      <c r="AKL12" s="880"/>
      <c r="AKM12" s="880"/>
      <c r="AKN12" s="880"/>
      <c r="AKO12" s="880"/>
      <c r="AKP12" s="880"/>
      <c r="AKQ12" s="880"/>
      <c r="AKR12" s="880"/>
      <c r="AKS12" s="880"/>
      <c r="AKT12" s="880"/>
      <c r="AKU12" s="880"/>
      <c r="AKV12" s="880"/>
      <c r="AKW12" s="880"/>
    </row>
    <row r="13" spans="1:985" ht="23.25" customHeight="1" thickBot="1" x14ac:dyDescent="0.4">
      <c r="A13" s="1112" t="s">
        <v>60</v>
      </c>
      <c r="B13" s="1112"/>
      <c r="C13" s="1113"/>
      <c r="D13" s="1113"/>
      <c r="E13" s="758"/>
      <c r="F13" s="422" t="s">
        <v>61</v>
      </c>
      <c r="G13" s="423"/>
      <c r="H13" s="423"/>
      <c r="I13" s="1130" t="s">
        <v>62</v>
      </c>
      <c r="J13" s="1131"/>
      <c r="K13" s="451"/>
      <c r="L13" s="1068" t="s">
        <v>63</v>
      </c>
      <c r="M13" s="1069"/>
      <c r="N13" s="880"/>
      <c r="O13" s="880"/>
      <c r="Q13" s="880"/>
      <c r="R13" s="880"/>
      <c r="S13" s="880"/>
      <c r="T13" s="880"/>
      <c r="U13" s="880"/>
      <c r="V13" s="749"/>
      <c r="W13" s="749"/>
      <c r="X13" s="880"/>
      <c r="Y13" s="880"/>
      <c r="Z13" s="880"/>
      <c r="AA13" s="880"/>
      <c r="AB13" s="880"/>
      <c r="AC13" s="880"/>
      <c r="AD13" s="880"/>
      <c r="AE13" s="880"/>
      <c r="AF13" s="880"/>
      <c r="AG13" s="880"/>
      <c r="AH13" s="880"/>
      <c r="AI13" s="880"/>
      <c r="AJ13" s="880"/>
      <c r="AK13" s="880"/>
      <c r="AL13" s="880"/>
      <c r="AM13" s="880"/>
      <c r="AN13" s="880"/>
      <c r="AO13" s="880"/>
      <c r="AP13" s="880"/>
      <c r="AQ13" s="880"/>
      <c r="AR13" s="880"/>
      <c r="AS13" s="880"/>
      <c r="AT13" s="880"/>
      <c r="AU13" s="880"/>
      <c r="AV13" s="880"/>
      <c r="AW13" s="880"/>
      <c r="AX13" s="880"/>
      <c r="AY13" s="880"/>
      <c r="AZ13" s="880"/>
      <c r="BA13" s="880"/>
      <c r="BB13" s="880"/>
      <c r="BC13" s="880"/>
      <c r="BD13" s="880"/>
      <c r="BE13" s="880"/>
      <c r="BF13" s="880"/>
      <c r="BG13" s="880"/>
      <c r="BH13" s="880"/>
      <c r="BI13" s="880"/>
      <c r="BJ13" s="880"/>
      <c r="BK13" s="880"/>
      <c r="BL13" s="880"/>
      <c r="BM13" s="880"/>
      <c r="BN13" s="880"/>
      <c r="BO13" s="880"/>
      <c r="BP13" s="880"/>
      <c r="BQ13" s="880"/>
      <c r="BR13" s="880"/>
      <c r="BS13" s="880"/>
      <c r="BT13" s="880"/>
      <c r="BU13" s="880"/>
      <c r="BV13" s="880"/>
      <c r="BW13" s="880"/>
      <c r="BX13" s="880"/>
      <c r="BY13" s="880"/>
      <c r="BZ13" s="880"/>
      <c r="CA13" s="880"/>
      <c r="CB13" s="880"/>
      <c r="CC13" s="880"/>
      <c r="CD13" s="880"/>
      <c r="CE13" s="880"/>
      <c r="CF13" s="880"/>
      <c r="CG13" s="880"/>
      <c r="CH13" s="880"/>
      <c r="CI13" s="880"/>
      <c r="CJ13" s="880"/>
      <c r="CK13" s="880"/>
      <c r="CL13" s="880"/>
      <c r="CM13" s="880"/>
      <c r="CN13" s="880"/>
      <c r="CO13" s="880"/>
      <c r="CP13" s="880"/>
      <c r="CQ13" s="880"/>
      <c r="CR13" s="880"/>
      <c r="CS13" s="880"/>
      <c r="CT13" s="880"/>
      <c r="CU13" s="880"/>
      <c r="CV13" s="880"/>
      <c r="CW13" s="880"/>
      <c r="CX13" s="880"/>
      <c r="CY13" s="880"/>
      <c r="CZ13" s="880"/>
      <c r="DA13" s="880"/>
      <c r="DB13" s="880"/>
      <c r="DC13" s="880"/>
      <c r="DD13" s="880"/>
      <c r="DE13" s="880"/>
      <c r="DF13" s="880"/>
      <c r="DG13" s="880"/>
      <c r="DH13" s="880"/>
      <c r="DI13" s="880"/>
      <c r="DJ13" s="880"/>
      <c r="DK13" s="880"/>
      <c r="DL13" s="880"/>
      <c r="DM13" s="880"/>
      <c r="DN13" s="880"/>
      <c r="DO13" s="880"/>
      <c r="DP13" s="880"/>
      <c r="DQ13" s="880"/>
      <c r="DR13" s="880"/>
      <c r="DS13" s="880"/>
      <c r="DT13" s="880"/>
      <c r="DU13" s="880"/>
      <c r="DV13" s="880"/>
      <c r="DW13" s="880"/>
      <c r="DX13" s="880"/>
      <c r="DY13" s="880"/>
      <c r="DZ13" s="880"/>
      <c r="EA13" s="880"/>
      <c r="EB13" s="880"/>
      <c r="EC13" s="880"/>
      <c r="ED13" s="880"/>
      <c r="EE13" s="880"/>
      <c r="EF13" s="880"/>
      <c r="EG13" s="880"/>
      <c r="EH13" s="880"/>
      <c r="EI13" s="880"/>
      <c r="EJ13" s="880"/>
      <c r="EK13" s="880"/>
      <c r="EL13" s="880"/>
      <c r="EM13" s="880"/>
      <c r="EN13" s="880"/>
      <c r="EO13" s="880"/>
      <c r="EP13" s="880"/>
      <c r="EQ13" s="880"/>
      <c r="ER13" s="880"/>
      <c r="ES13" s="880"/>
      <c r="ET13" s="880"/>
      <c r="EU13" s="880"/>
      <c r="EV13" s="880"/>
      <c r="EW13" s="880"/>
      <c r="EX13" s="880"/>
      <c r="EY13" s="880"/>
      <c r="EZ13" s="880"/>
      <c r="FA13" s="880"/>
      <c r="FB13" s="880"/>
      <c r="FC13" s="880"/>
      <c r="FD13" s="880"/>
      <c r="FE13" s="880"/>
      <c r="FF13" s="880"/>
      <c r="FG13" s="880"/>
      <c r="FH13" s="880"/>
      <c r="FI13" s="880"/>
      <c r="FJ13" s="880"/>
      <c r="FK13" s="880"/>
      <c r="FL13" s="880"/>
      <c r="FM13" s="880"/>
      <c r="FN13" s="880"/>
      <c r="FO13" s="880"/>
      <c r="FP13" s="880"/>
      <c r="FQ13" s="880"/>
      <c r="FR13" s="880"/>
      <c r="FS13" s="880"/>
      <c r="FT13" s="880"/>
      <c r="FU13" s="880"/>
      <c r="FV13" s="880"/>
      <c r="FW13" s="880"/>
      <c r="FX13" s="880"/>
      <c r="FY13" s="880"/>
      <c r="FZ13" s="880"/>
      <c r="GA13" s="880"/>
      <c r="GB13" s="880"/>
      <c r="GC13" s="880"/>
      <c r="GD13" s="880"/>
      <c r="GE13" s="880"/>
      <c r="GF13" s="880"/>
      <c r="GG13" s="880"/>
      <c r="GH13" s="880"/>
      <c r="GI13" s="880"/>
      <c r="GJ13" s="880"/>
      <c r="GK13" s="880"/>
      <c r="GL13" s="880"/>
      <c r="GM13" s="880"/>
      <c r="GN13" s="880"/>
      <c r="GO13" s="880"/>
      <c r="GP13" s="880"/>
      <c r="GQ13" s="880"/>
      <c r="GR13" s="880"/>
      <c r="GS13" s="880"/>
      <c r="GT13" s="880"/>
      <c r="GU13" s="880"/>
      <c r="GV13" s="880"/>
      <c r="GW13" s="880"/>
      <c r="GX13" s="880"/>
      <c r="GY13" s="880"/>
      <c r="GZ13" s="880"/>
      <c r="HA13" s="880"/>
      <c r="HB13" s="880"/>
      <c r="HC13" s="880"/>
      <c r="HD13" s="880"/>
      <c r="HE13" s="880"/>
      <c r="HF13" s="880"/>
      <c r="HG13" s="880"/>
      <c r="HH13" s="880"/>
      <c r="HI13" s="880"/>
      <c r="HJ13" s="880"/>
      <c r="HK13" s="880"/>
      <c r="HL13" s="880"/>
      <c r="HM13" s="880"/>
      <c r="HN13" s="880"/>
      <c r="HO13" s="880"/>
      <c r="HP13" s="880"/>
      <c r="HQ13" s="880"/>
      <c r="HR13" s="880"/>
      <c r="HS13" s="880"/>
      <c r="HT13" s="880"/>
      <c r="HU13" s="880"/>
      <c r="HV13" s="880"/>
      <c r="HW13" s="880"/>
      <c r="HX13" s="880"/>
      <c r="HY13" s="880"/>
      <c r="HZ13" s="880"/>
      <c r="IA13" s="880"/>
      <c r="IB13" s="880"/>
      <c r="IC13" s="880"/>
      <c r="ID13" s="880"/>
      <c r="IE13" s="880"/>
      <c r="IF13" s="880"/>
      <c r="IG13" s="880"/>
      <c r="IH13" s="880"/>
      <c r="II13" s="880"/>
      <c r="IJ13" s="880"/>
      <c r="IK13" s="880"/>
      <c r="IL13" s="880"/>
      <c r="IM13" s="880"/>
      <c r="IN13" s="880"/>
      <c r="IO13" s="880"/>
      <c r="IP13" s="880"/>
      <c r="IQ13" s="880"/>
      <c r="IR13" s="880"/>
      <c r="IS13" s="880"/>
      <c r="IT13" s="880"/>
      <c r="IU13" s="880"/>
      <c r="IV13" s="880"/>
      <c r="IW13" s="880"/>
      <c r="IX13" s="880"/>
      <c r="IY13" s="880"/>
      <c r="IZ13" s="880"/>
      <c r="JA13" s="880"/>
      <c r="JB13" s="880"/>
      <c r="JC13" s="880"/>
      <c r="JD13" s="880"/>
      <c r="JE13" s="880"/>
      <c r="JF13" s="880"/>
      <c r="JG13" s="880"/>
      <c r="JH13" s="880"/>
      <c r="JI13" s="880"/>
      <c r="JJ13" s="880"/>
      <c r="JK13" s="880"/>
      <c r="JL13" s="880"/>
      <c r="JM13" s="880"/>
      <c r="JN13" s="880"/>
      <c r="JO13" s="880"/>
      <c r="JP13" s="880"/>
      <c r="JQ13" s="880"/>
      <c r="JR13" s="880"/>
      <c r="JS13" s="880"/>
      <c r="JT13" s="880"/>
      <c r="JU13" s="880"/>
      <c r="JV13" s="880"/>
      <c r="JW13" s="880"/>
      <c r="JX13" s="880"/>
      <c r="JY13" s="880"/>
      <c r="JZ13" s="880"/>
      <c r="KA13" s="880"/>
      <c r="KB13" s="880"/>
      <c r="KC13" s="880"/>
      <c r="KD13" s="880"/>
      <c r="KE13" s="880"/>
      <c r="KF13" s="880"/>
      <c r="KG13" s="880"/>
      <c r="KH13" s="880"/>
      <c r="KI13" s="880"/>
      <c r="KJ13" s="880"/>
      <c r="KK13" s="880"/>
      <c r="KL13" s="880"/>
      <c r="KM13" s="880"/>
      <c r="KN13" s="880"/>
      <c r="KO13" s="880"/>
      <c r="KP13" s="880"/>
      <c r="KQ13" s="880"/>
      <c r="KR13" s="880"/>
      <c r="KS13" s="880"/>
      <c r="KT13" s="880"/>
      <c r="KU13" s="880"/>
      <c r="KV13" s="880"/>
      <c r="KW13" s="880"/>
      <c r="KX13" s="880"/>
      <c r="KY13" s="880"/>
      <c r="KZ13" s="880"/>
      <c r="LA13" s="880"/>
      <c r="LB13" s="880"/>
      <c r="LC13" s="880"/>
      <c r="LD13" s="880"/>
      <c r="LE13" s="880"/>
      <c r="LF13" s="880"/>
      <c r="LG13" s="880"/>
      <c r="LH13" s="880"/>
      <c r="LI13" s="880"/>
      <c r="LJ13" s="880"/>
      <c r="LK13" s="880"/>
      <c r="LL13" s="880"/>
      <c r="LM13" s="880"/>
      <c r="LN13" s="880"/>
      <c r="LO13" s="880"/>
      <c r="LP13" s="880"/>
      <c r="LQ13" s="880"/>
      <c r="LR13" s="880"/>
      <c r="LS13" s="880"/>
      <c r="LT13" s="880"/>
      <c r="LU13" s="880"/>
      <c r="LV13" s="880"/>
      <c r="LW13" s="880"/>
      <c r="LX13" s="880"/>
      <c r="LY13" s="880"/>
      <c r="LZ13" s="880"/>
      <c r="MA13" s="880"/>
      <c r="MB13" s="880"/>
      <c r="MC13" s="880"/>
      <c r="MD13" s="880"/>
      <c r="ME13" s="880"/>
      <c r="MF13" s="880"/>
      <c r="MG13" s="880"/>
      <c r="MH13" s="880"/>
      <c r="MI13" s="880"/>
      <c r="MJ13" s="880"/>
      <c r="MK13" s="880"/>
      <c r="ML13" s="880"/>
      <c r="MM13" s="880"/>
      <c r="MN13" s="880"/>
      <c r="MO13" s="880"/>
      <c r="MP13" s="880"/>
      <c r="MQ13" s="880"/>
      <c r="MR13" s="880"/>
      <c r="MS13" s="880"/>
      <c r="MT13" s="880"/>
      <c r="MU13" s="880"/>
      <c r="MV13" s="880"/>
      <c r="MW13" s="880"/>
      <c r="MX13" s="880"/>
      <c r="MY13" s="880"/>
      <c r="MZ13" s="880"/>
      <c r="NA13" s="880"/>
      <c r="NB13" s="880"/>
      <c r="NC13" s="880"/>
      <c r="ND13" s="880"/>
      <c r="NE13" s="880"/>
      <c r="NF13" s="880"/>
      <c r="NG13" s="880"/>
      <c r="NH13" s="880"/>
      <c r="NI13" s="880"/>
      <c r="NJ13" s="880"/>
      <c r="NK13" s="880"/>
      <c r="NL13" s="880"/>
      <c r="NM13" s="880"/>
      <c r="NN13" s="880"/>
      <c r="NO13" s="880"/>
      <c r="NP13" s="880"/>
      <c r="NQ13" s="880"/>
      <c r="NR13" s="880"/>
      <c r="NS13" s="880"/>
      <c r="NT13" s="880"/>
      <c r="NU13" s="880"/>
      <c r="NV13" s="880"/>
      <c r="NW13" s="880"/>
      <c r="NX13" s="880"/>
      <c r="NY13" s="880"/>
      <c r="NZ13" s="880"/>
      <c r="OA13" s="880"/>
      <c r="OB13" s="880"/>
      <c r="OC13" s="880"/>
      <c r="OD13" s="880"/>
      <c r="OE13" s="880"/>
      <c r="OF13" s="880"/>
      <c r="OG13" s="880"/>
      <c r="OH13" s="880"/>
      <c r="OI13" s="880"/>
      <c r="OJ13" s="880"/>
      <c r="OK13" s="880"/>
      <c r="OL13" s="880"/>
      <c r="OM13" s="880"/>
      <c r="ON13" s="880"/>
      <c r="OO13" s="880"/>
      <c r="OP13" s="880"/>
      <c r="OQ13" s="880"/>
      <c r="OR13" s="880"/>
      <c r="OS13" s="880"/>
      <c r="OT13" s="880"/>
      <c r="OU13" s="880"/>
      <c r="OV13" s="880"/>
      <c r="OW13" s="880"/>
      <c r="OX13" s="880"/>
      <c r="OY13" s="880"/>
      <c r="OZ13" s="880"/>
      <c r="PA13" s="880"/>
      <c r="PB13" s="880"/>
      <c r="PC13" s="880"/>
      <c r="PD13" s="880"/>
      <c r="PE13" s="880"/>
      <c r="PF13" s="880"/>
      <c r="PG13" s="880"/>
      <c r="PH13" s="880"/>
      <c r="PI13" s="880"/>
      <c r="PJ13" s="880"/>
      <c r="PK13" s="880"/>
      <c r="PL13" s="880"/>
      <c r="PM13" s="880"/>
      <c r="PN13" s="880"/>
      <c r="PO13" s="880"/>
      <c r="PP13" s="880"/>
      <c r="PQ13" s="880"/>
      <c r="PR13" s="880"/>
      <c r="PS13" s="880"/>
      <c r="PT13" s="880"/>
      <c r="PU13" s="880"/>
      <c r="PV13" s="880"/>
      <c r="PW13" s="880"/>
      <c r="PX13" s="880"/>
      <c r="PY13" s="880"/>
      <c r="PZ13" s="880"/>
      <c r="QA13" s="880"/>
      <c r="QB13" s="880"/>
      <c r="QC13" s="880"/>
      <c r="QD13" s="880"/>
      <c r="QE13" s="880"/>
      <c r="QF13" s="880"/>
      <c r="QG13" s="880"/>
      <c r="QH13" s="880"/>
      <c r="QI13" s="880"/>
      <c r="QJ13" s="880"/>
      <c r="QK13" s="880"/>
      <c r="QL13" s="880"/>
      <c r="QM13" s="880"/>
      <c r="QN13" s="880"/>
      <c r="QO13" s="880"/>
      <c r="QP13" s="880"/>
      <c r="QQ13" s="880"/>
      <c r="QR13" s="880"/>
      <c r="QS13" s="880"/>
      <c r="QT13" s="880"/>
      <c r="QU13" s="880"/>
      <c r="QV13" s="880"/>
      <c r="QW13" s="880"/>
      <c r="QX13" s="880"/>
      <c r="QY13" s="880"/>
      <c r="QZ13" s="880"/>
      <c r="RA13" s="880"/>
      <c r="RB13" s="880"/>
      <c r="RC13" s="880"/>
      <c r="RD13" s="880"/>
      <c r="RE13" s="880"/>
      <c r="RF13" s="880"/>
      <c r="RG13" s="880"/>
      <c r="RH13" s="880"/>
      <c r="RI13" s="880"/>
      <c r="RJ13" s="880"/>
      <c r="RK13" s="880"/>
      <c r="RL13" s="880"/>
      <c r="RM13" s="880"/>
      <c r="RN13" s="880"/>
      <c r="RO13" s="880"/>
      <c r="RP13" s="880"/>
      <c r="RQ13" s="880"/>
      <c r="RR13" s="880"/>
      <c r="RS13" s="880"/>
      <c r="RT13" s="880"/>
      <c r="RU13" s="880"/>
      <c r="RV13" s="880"/>
      <c r="RW13" s="880"/>
      <c r="RX13" s="880"/>
      <c r="RY13" s="880"/>
      <c r="RZ13" s="880"/>
      <c r="SA13" s="880"/>
      <c r="SB13" s="880"/>
      <c r="SC13" s="880"/>
      <c r="SD13" s="880"/>
      <c r="SE13" s="880"/>
      <c r="SF13" s="880"/>
      <c r="SG13" s="880"/>
      <c r="SH13" s="880"/>
      <c r="SI13" s="880"/>
      <c r="SJ13" s="880"/>
      <c r="SK13" s="880"/>
      <c r="SL13" s="880"/>
      <c r="SM13" s="880"/>
      <c r="SN13" s="880"/>
      <c r="SO13" s="880"/>
      <c r="SP13" s="880"/>
      <c r="SQ13" s="880"/>
      <c r="SR13" s="880"/>
      <c r="SS13" s="880"/>
      <c r="ST13" s="880"/>
      <c r="SU13" s="880"/>
      <c r="SV13" s="880"/>
      <c r="SW13" s="880"/>
      <c r="SX13" s="880"/>
      <c r="SY13" s="880"/>
      <c r="SZ13" s="880"/>
      <c r="TA13" s="880"/>
      <c r="TB13" s="880"/>
      <c r="TC13" s="880"/>
      <c r="TD13" s="880"/>
      <c r="TE13" s="880"/>
      <c r="TF13" s="880"/>
      <c r="TG13" s="880"/>
      <c r="TH13" s="880"/>
      <c r="TI13" s="880"/>
      <c r="TJ13" s="880"/>
      <c r="TK13" s="880"/>
      <c r="TL13" s="880"/>
      <c r="TM13" s="880"/>
      <c r="TN13" s="880"/>
      <c r="TO13" s="880"/>
      <c r="TP13" s="880"/>
      <c r="TQ13" s="880"/>
      <c r="TR13" s="880"/>
      <c r="TS13" s="880"/>
      <c r="TT13" s="880"/>
      <c r="TU13" s="880"/>
      <c r="TV13" s="880"/>
      <c r="TW13" s="880"/>
      <c r="TX13" s="880"/>
      <c r="TY13" s="880"/>
      <c r="TZ13" s="880"/>
      <c r="UA13" s="880"/>
      <c r="UB13" s="880"/>
      <c r="UC13" s="880"/>
      <c r="UD13" s="880"/>
      <c r="UE13" s="880"/>
      <c r="UF13" s="880"/>
      <c r="UG13" s="880"/>
      <c r="UH13" s="880"/>
      <c r="UI13" s="880"/>
      <c r="UJ13" s="880"/>
      <c r="UK13" s="880"/>
      <c r="UL13" s="880"/>
      <c r="UM13" s="880"/>
      <c r="UN13" s="880"/>
      <c r="UO13" s="880"/>
      <c r="UP13" s="880"/>
      <c r="UQ13" s="880"/>
      <c r="UR13" s="880"/>
      <c r="US13" s="880"/>
      <c r="UT13" s="880"/>
      <c r="UU13" s="880"/>
      <c r="UV13" s="880"/>
      <c r="UW13" s="880"/>
      <c r="UX13" s="880"/>
      <c r="UY13" s="880"/>
      <c r="UZ13" s="880"/>
      <c r="VA13" s="880"/>
      <c r="VB13" s="880"/>
      <c r="VC13" s="880"/>
      <c r="VD13" s="880"/>
      <c r="VE13" s="880"/>
      <c r="VF13" s="880"/>
      <c r="VG13" s="880"/>
      <c r="VH13" s="880"/>
      <c r="VI13" s="880"/>
      <c r="VJ13" s="880"/>
      <c r="VK13" s="880"/>
      <c r="VL13" s="880"/>
      <c r="VM13" s="880"/>
      <c r="VN13" s="880"/>
      <c r="VO13" s="880"/>
      <c r="VP13" s="880"/>
      <c r="VQ13" s="880"/>
      <c r="VR13" s="880"/>
      <c r="VS13" s="880"/>
      <c r="VT13" s="880"/>
      <c r="VU13" s="880"/>
      <c r="VV13" s="880"/>
      <c r="VW13" s="880"/>
      <c r="VX13" s="880"/>
      <c r="VY13" s="880"/>
      <c r="VZ13" s="880"/>
      <c r="WA13" s="880"/>
      <c r="WB13" s="880"/>
      <c r="WC13" s="880"/>
      <c r="WD13" s="880"/>
      <c r="WE13" s="880"/>
      <c r="WF13" s="880"/>
      <c r="WG13" s="880"/>
      <c r="WH13" s="880"/>
      <c r="WI13" s="880"/>
      <c r="WJ13" s="880"/>
      <c r="WK13" s="880"/>
      <c r="WL13" s="880"/>
      <c r="WM13" s="880"/>
      <c r="WN13" s="880"/>
      <c r="WO13" s="880"/>
      <c r="WP13" s="880"/>
      <c r="WQ13" s="880"/>
      <c r="WR13" s="880"/>
      <c r="WS13" s="880"/>
      <c r="WT13" s="880"/>
      <c r="WU13" s="880"/>
      <c r="WV13" s="880"/>
      <c r="WW13" s="880"/>
      <c r="WX13" s="880"/>
      <c r="WY13" s="880"/>
      <c r="WZ13" s="880"/>
      <c r="XA13" s="880"/>
      <c r="XB13" s="880"/>
      <c r="XC13" s="880"/>
      <c r="XD13" s="880"/>
      <c r="XE13" s="880"/>
      <c r="XF13" s="880"/>
      <c r="XG13" s="880"/>
      <c r="XH13" s="880"/>
      <c r="XI13" s="880"/>
      <c r="XJ13" s="880"/>
      <c r="XK13" s="880"/>
      <c r="XL13" s="880"/>
      <c r="XM13" s="880"/>
      <c r="XN13" s="880"/>
      <c r="XO13" s="880"/>
      <c r="XP13" s="880"/>
      <c r="XQ13" s="880"/>
      <c r="XR13" s="880"/>
      <c r="XS13" s="880"/>
      <c r="XT13" s="880"/>
      <c r="XU13" s="880"/>
      <c r="XV13" s="880"/>
      <c r="XW13" s="880"/>
      <c r="XX13" s="880"/>
      <c r="XY13" s="880"/>
      <c r="XZ13" s="880"/>
      <c r="YA13" s="880"/>
      <c r="YB13" s="880"/>
      <c r="YC13" s="880"/>
      <c r="YD13" s="880"/>
      <c r="YE13" s="880"/>
      <c r="YF13" s="880"/>
      <c r="YG13" s="880"/>
      <c r="YH13" s="880"/>
      <c r="YI13" s="880"/>
      <c r="YJ13" s="880"/>
      <c r="YK13" s="880"/>
      <c r="YL13" s="880"/>
      <c r="YM13" s="880"/>
      <c r="YN13" s="880"/>
      <c r="YO13" s="880"/>
      <c r="YP13" s="880"/>
      <c r="YQ13" s="880"/>
      <c r="YR13" s="880"/>
      <c r="YS13" s="880"/>
      <c r="YT13" s="880"/>
      <c r="YU13" s="880"/>
      <c r="YV13" s="880"/>
      <c r="YW13" s="880"/>
      <c r="YX13" s="880"/>
      <c r="YY13" s="880"/>
      <c r="YZ13" s="880"/>
      <c r="ZA13" s="880"/>
      <c r="ZB13" s="880"/>
      <c r="ZC13" s="880"/>
      <c r="ZD13" s="880"/>
      <c r="ZE13" s="880"/>
      <c r="ZF13" s="880"/>
      <c r="ZG13" s="880"/>
      <c r="ZH13" s="880"/>
      <c r="ZI13" s="880"/>
      <c r="ZJ13" s="880"/>
      <c r="ZK13" s="880"/>
      <c r="ZL13" s="880"/>
      <c r="ZM13" s="880"/>
      <c r="ZN13" s="880"/>
      <c r="ZO13" s="880"/>
      <c r="ZP13" s="880"/>
      <c r="ZQ13" s="880"/>
      <c r="ZR13" s="880"/>
      <c r="ZS13" s="880"/>
      <c r="ZT13" s="880"/>
      <c r="ZU13" s="880"/>
      <c r="ZV13" s="880"/>
      <c r="ZW13" s="880"/>
      <c r="ZX13" s="880"/>
      <c r="ZY13" s="880"/>
      <c r="ZZ13" s="880"/>
      <c r="AAA13" s="880"/>
      <c r="AAB13" s="880"/>
      <c r="AAC13" s="880"/>
      <c r="AAD13" s="880"/>
      <c r="AAE13" s="880"/>
      <c r="AAF13" s="880"/>
      <c r="AAG13" s="880"/>
      <c r="AAH13" s="880"/>
      <c r="AAI13" s="880"/>
      <c r="AAJ13" s="880"/>
      <c r="AAK13" s="880"/>
      <c r="AAL13" s="880"/>
      <c r="AAM13" s="880"/>
      <c r="AAN13" s="880"/>
      <c r="AAO13" s="880"/>
      <c r="AAP13" s="880"/>
      <c r="AAQ13" s="880"/>
      <c r="AAR13" s="880"/>
      <c r="AAS13" s="880"/>
      <c r="AAT13" s="880"/>
      <c r="AAU13" s="880"/>
      <c r="AAV13" s="880"/>
      <c r="AAW13" s="880"/>
      <c r="AAX13" s="880"/>
      <c r="AAY13" s="880"/>
      <c r="AAZ13" s="880"/>
      <c r="ABA13" s="880"/>
      <c r="ABB13" s="880"/>
      <c r="ABC13" s="880"/>
      <c r="ABD13" s="880"/>
      <c r="ABE13" s="880"/>
      <c r="ABF13" s="880"/>
      <c r="ABG13" s="880"/>
      <c r="ABH13" s="880"/>
      <c r="ABI13" s="880"/>
      <c r="ABJ13" s="880"/>
      <c r="ABK13" s="880"/>
      <c r="ABL13" s="880"/>
      <c r="ABM13" s="880"/>
      <c r="ABN13" s="880"/>
      <c r="ABO13" s="880"/>
      <c r="ABP13" s="880"/>
      <c r="ABQ13" s="880"/>
      <c r="ABR13" s="880"/>
      <c r="ABS13" s="880"/>
      <c r="ABT13" s="880"/>
      <c r="ABU13" s="880"/>
      <c r="ABV13" s="880"/>
      <c r="ABW13" s="880"/>
      <c r="ABX13" s="880"/>
      <c r="ABY13" s="880"/>
      <c r="ABZ13" s="880"/>
      <c r="ACA13" s="880"/>
      <c r="ACB13" s="880"/>
      <c r="ACC13" s="880"/>
      <c r="ACD13" s="880"/>
      <c r="ACE13" s="880"/>
      <c r="ACF13" s="880"/>
      <c r="ACG13" s="880"/>
      <c r="ACH13" s="880"/>
      <c r="ACI13" s="880"/>
      <c r="ACJ13" s="880"/>
      <c r="ACK13" s="880"/>
      <c r="ACL13" s="880"/>
      <c r="ACM13" s="880"/>
      <c r="ACN13" s="880"/>
      <c r="ACO13" s="880"/>
      <c r="ACP13" s="880"/>
      <c r="ACQ13" s="880"/>
      <c r="ACR13" s="880"/>
      <c r="ACS13" s="880"/>
      <c r="ACT13" s="880"/>
      <c r="ACU13" s="880"/>
      <c r="ACV13" s="880"/>
      <c r="ACW13" s="880"/>
      <c r="ACX13" s="880"/>
      <c r="ACY13" s="880"/>
      <c r="ACZ13" s="880"/>
      <c r="ADA13" s="880"/>
      <c r="ADB13" s="880"/>
      <c r="ADC13" s="880"/>
      <c r="ADD13" s="880"/>
      <c r="ADE13" s="880"/>
      <c r="ADF13" s="880"/>
      <c r="ADG13" s="880"/>
      <c r="ADH13" s="880"/>
      <c r="ADI13" s="880"/>
      <c r="ADJ13" s="880"/>
      <c r="ADK13" s="880"/>
      <c r="ADL13" s="880"/>
      <c r="ADM13" s="880"/>
      <c r="ADN13" s="880"/>
      <c r="ADO13" s="880"/>
      <c r="ADP13" s="880"/>
      <c r="ADQ13" s="880"/>
      <c r="ADR13" s="880"/>
      <c r="ADS13" s="880"/>
      <c r="ADT13" s="880"/>
      <c r="ADU13" s="880"/>
      <c r="ADV13" s="880"/>
      <c r="ADW13" s="880"/>
      <c r="ADX13" s="880"/>
      <c r="ADY13" s="880"/>
      <c r="ADZ13" s="880"/>
      <c r="AEA13" s="880"/>
      <c r="AEB13" s="880"/>
      <c r="AEC13" s="880"/>
      <c r="AED13" s="880"/>
      <c r="AEE13" s="880"/>
      <c r="AEF13" s="880"/>
      <c r="AEG13" s="880"/>
      <c r="AEH13" s="880"/>
      <c r="AEI13" s="880"/>
      <c r="AEJ13" s="880"/>
      <c r="AEK13" s="880"/>
      <c r="AEL13" s="880"/>
      <c r="AEM13" s="880"/>
      <c r="AEN13" s="880"/>
      <c r="AEO13" s="880"/>
      <c r="AEP13" s="880"/>
      <c r="AEQ13" s="880"/>
      <c r="AER13" s="880"/>
      <c r="AES13" s="880"/>
      <c r="AET13" s="880"/>
      <c r="AEU13" s="880"/>
      <c r="AEV13" s="880"/>
      <c r="AEW13" s="880"/>
      <c r="AEX13" s="880"/>
      <c r="AEY13" s="880"/>
      <c r="AEZ13" s="880"/>
      <c r="AFA13" s="880"/>
      <c r="AFB13" s="880"/>
      <c r="AFC13" s="880"/>
      <c r="AFD13" s="880"/>
      <c r="AFE13" s="880"/>
      <c r="AFF13" s="880"/>
      <c r="AFG13" s="880"/>
      <c r="AFH13" s="880"/>
      <c r="AFI13" s="880"/>
      <c r="AFJ13" s="880"/>
      <c r="AFK13" s="880"/>
      <c r="AFL13" s="880"/>
      <c r="AFM13" s="880"/>
      <c r="AFN13" s="880"/>
      <c r="AFO13" s="880"/>
      <c r="AFP13" s="880"/>
      <c r="AFQ13" s="880"/>
      <c r="AFR13" s="880"/>
      <c r="AFS13" s="880"/>
      <c r="AFT13" s="880"/>
      <c r="AFU13" s="880"/>
      <c r="AFV13" s="880"/>
      <c r="AFW13" s="880"/>
      <c r="AFX13" s="880"/>
      <c r="AFY13" s="880"/>
      <c r="AFZ13" s="880"/>
      <c r="AGA13" s="880"/>
      <c r="AGB13" s="880"/>
      <c r="AGC13" s="880"/>
      <c r="AGD13" s="880"/>
      <c r="AGE13" s="880"/>
      <c r="AGF13" s="880"/>
      <c r="AGG13" s="880"/>
      <c r="AGH13" s="880"/>
      <c r="AGI13" s="880"/>
      <c r="AGJ13" s="880"/>
      <c r="AGK13" s="880"/>
      <c r="AGL13" s="880"/>
      <c r="AGM13" s="880"/>
      <c r="AGN13" s="880"/>
      <c r="AGO13" s="880"/>
      <c r="AGP13" s="880"/>
      <c r="AGQ13" s="880"/>
      <c r="AGR13" s="880"/>
      <c r="AGS13" s="880"/>
      <c r="AGT13" s="880"/>
      <c r="AGU13" s="880"/>
      <c r="AGV13" s="880"/>
      <c r="AGW13" s="880"/>
      <c r="AGX13" s="880"/>
      <c r="AGY13" s="880"/>
      <c r="AGZ13" s="880"/>
      <c r="AHA13" s="880"/>
      <c r="AHB13" s="880"/>
      <c r="AHC13" s="880"/>
      <c r="AHD13" s="880"/>
      <c r="AHE13" s="880"/>
      <c r="AHF13" s="880"/>
      <c r="AHG13" s="880"/>
      <c r="AHH13" s="880"/>
      <c r="AHI13" s="880"/>
      <c r="AHJ13" s="880"/>
      <c r="AHK13" s="880"/>
      <c r="AHL13" s="880"/>
      <c r="AHM13" s="880"/>
      <c r="AHN13" s="880"/>
      <c r="AHO13" s="880"/>
      <c r="AHP13" s="880"/>
      <c r="AHQ13" s="880"/>
      <c r="AHR13" s="880"/>
      <c r="AHS13" s="880"/>
      <c r="AHT13" s="880"/>
      <c r="AHU13" s="880"/>
      <c r="AHV13" s="880"/>
      <c r="AHW13" s="880"/>
      <c r="AHX13" s="880"/>
      <c r="AHY13" s="880"/>
      <c r="AHZ13" s="880"/>
      <c r="AIA13" s="880"/>
      <c r="AIB13" s="880"/>
      <c r="AIC13" s="880"/>
      <c r="AID13" s="880"/>
      <c r="AIE13" s="880"/>
      <c r="AIF13" s="880"/>
      <c r="AIG13" s="880"/>
      <c r="AIH13" s="880"/>
      <c r="AII13" s="880"/>
      <c r="AIJ13" s="880"/>
      <c r="AIK13" s="880"/>
      <c r="AIL13" s="880"/>
      <c r="AIM13" s="880"/>
      <c r="AIN13" s="880"/>
      <c r="AIO13" s="880"/>
      <c r="AIP13" s="880"/>
      <c r="AIQ13" s="880"/>
      <c r="AIR13" s="880"/>
      <c r="AIS13" s="880"/>
      <c r="AIT13" s="880"/>
      <c r="AIU13" s="880"/>
      <c r="AIV13" s="880"/>
      <c r="AIW13" s="880"/>
      <c r="AIX13" s="880"/>
      <c r="AIY13" s="880"/>
      <c r="AIZ13" s="880"/>
      <c r="AJA13" s="880"/>
      <c r="AJB13" s="880"/>
      <c r="AJC13" s="880"/>
      <c r="AJD13" s="880"/>
      <c r="AJE13" s="880"/>
      <c r="AJF13" s="880"/>
      <c r="AJG13" s="880"/>
      <c r="AJH13" s="880"/>
      <c r="AJI13" s="880"/>
      <c r="AJJ13" s="880"/>
      <c r="AJK13" s="880"/>
      <c r="AJL13" s="880"/>
      <c r="AJM13" s="880"/>
      <c r="AJN13" s="880"/>
      <c r="AJO13" s="880"/>
      <c r="AJP13" s="880"/>
      <c r="AJQ13" s="880"/>
      <c r="AJR13" s="880"/>
      <c r="AJS13" s="880"/>
      <c r="AJT13" s="880"/>
      <c r="AJU13" s="880"/>
      <c r="AJV13" s="880"/>
      <c r="AJW13" s="880"/>
      <c r="AJX13" s="880"/>
      <c r="AJY13" s="880"/>
      <c r="AJZ13" s="880"/>
      <c r="AKA13" s="880"/>
      <c r="AKB13" s="880"/>
      <c r="AKC13" s="880"/>
      <c r="AKD13" s="880"/>
      <c r="AKE13" s="880"/>
      <c r="AKF13" s="880"/>
      <c r="AKG13" s="880"/>
      <c r="AKH13" s="880"/>
      <c r="AKI13" s="880"/>
      <c r="AKJ13" s="880"/>
      <c r="AKK13" s="880"/>
      <c r="AKL13" s="880"/>
      <c r="AKM13" s="880"/>
      <c r="AKN13" s="880"/>
      <c r="AKO13" s="880"/>
      <c r="AKP13" s="880"/>
      <c r="AKQ13" s="880"/>
      <c r="AKR13" s="880"/>
      <c r="AKS13" s="880"/>
      <c r="AKT13" s="880"/>
      <c r="AKU13" s="880"/>
      <c r="AKV13" s="880"/>
      <c r="AKW13" s="880"/>
    </row>
    <row r="14" spans="1:985" ht="23.25" customHeight="1" x14ac:dyDescent="0.3">
      <c r="A14" s="1112" t="s">
        <v>64</v>
      </c>
      <c r="B14" s="1112"/>
      <c r="C14" s="1118"/>
      <c r="D14" s="1118"/>
      <c r="E14" s="758"/>
      <c r="F14" s="429" t="s">
        <v>65</v>
      </c>
      <c r="G14" s="1125" t="s">
        <v>66</v>
      </c>
      <c r="H14" s="1126"/>
      <c r="I14" s="444" t="s">
        <v>67</v>
      </c>
      <c r="J14" s="454" t="s">
        <v>68</v>
      </c>
      <c r="K14" s="453"/>
      <c r="L14" s="1066" t="s">
        <v>69</v>
      </c>
      <c r="M14" s="1067"/>
      <c r="N14" s="880"/>
      <c r="O14" s="1162" t="s">
        <v>70</v>
      </c>
      <c r="P14" s="1163"/>
      <c r="Q14" s="1163"/>
      <c r="R14" s="425"/>
      <c r="S14" s="880"/>
      <c r="T14" s="880"/>
      <c r="U14" s="880"/>
      <c r="V14" s="749"/>
      <c r="W14" s="749"/>
      <c r="X14" s="880"/>
      <c r="Y14" s="880"/>
      <c r="Z14" s="880"/>
      <c r="AA14" s="880"/>
      <c r="AB14" s="880"/>
      <c r="AC14" s="880"/>
      <c r="AD14" s="880"/>
      <c r="AE14" s="880"/>
      <c r="AF14" s="880"/>
      <c r="AG14" s="880"/>
      <c r="AH14" s="880"/>
      <c r="AI14" s="880"/>
      <c r="AJ14" s="880"/>
      <c r="AK14" s="880"/>
      <c r="AL14" s="880"/>
      <c r="AM14" s="880"/>
      <c r="AN14" s="880"/>
      <c r="AO14" s="880"/>
      <c r="AP14" s="880"/>
      <c r="AQ14" s="880"/>
      <c r="AR14" s="880"/>
      <c r="AS14" s="880"/>
      <c r="AT14" s="880"/>
      <c r="AU14" s="880"/>
      <c r="AV14" s="880"/>
      <c r="AW14" s="880"/>
      <c r="AX14" s="880"/>
      <c r="AY14" s="880"/>
      <c r="AZ14" s="880"/>
      <c r="BA14" s="880"/>
      <c r="BB14" s="880"/>
      <c r="BC14" s="880"/>
      <c r="BD14" s="880"/>
      <c r="BE14" s="880"/>
      <c r="BF14" s="880"/>
      <c r="BG14" s="880"/>
      <c r="BH14" s="880"/>
      <c r="BI14" s="880"/>
      <c r="BJ14" s="880"/>
      <c r="BK14" s="880"/>
      <c r="BL14" s="880"/>
      <c r="BM14" s="880"/>
      <c r="BN14" s="880"/>
      <c r="BO14" s="880"/>
      <c r="BP14" s="880"/>
      <c r="BQ14" s="880"/>
      <c r="BR14" s="880"/>
      <c r="BS14" s="880"/>
      <c r="BT14" s="880"/>
      <c r="BU14" s="880"/>
      <c r="BV14" s="880"/>
      <c r="BW14" s="880"/>
      <c r="BX14" s="880"/>
      <c r="BY14" s="880"/>
      <c r="BZ14" s="880"/>
      <c r="CA14" s="880"/>
      <c r="CB14" s="880"/>
      <c r="CC14" s="880"/>
      <c r="CD14" s="880"/>
      <c r="CE14" s="880"/>
      <c r="CF14" s="880"/>
      <c r="CG14" s="880"/>
      <c r="CH14" s="880"/>
      <c r="CI14" s="880"/>
      <c r="CJ14" s="880"/>
      <c r="CK14" s="880"/>
      <c r="CL14" s="880"/>
      <c r="CM14" s="880"/>
      <c r="CN14" s="880"/>
      <c r="CO14" s="880"/>
      <c r="CP14" s="880"/>
      <c r="CQ14" s="880"/>
      <c r="CR14" s="880"/>
      <c r="CS14" s="880"/>
      <c r="CT14" s="880"/>
      <c r="CU14" s="880"/>
      <c r="CV14" s="880"/>
      <c r="CW14" s="880"/>
      <c r="CX14" s="880"/>
      <c r="CY14" s="880"/>
      <c r="CZ14" s="880"/>
      <c r="DA14" s="880"/>
      <c r="DB14" s="880"/>
      <c r="DC14" s="880"/>
      <c r="DD14" s="880"/>
      <c r="DE14" s="880"/>
      <c r="DF14" s="880"/>
      <c r="DG14" s="880"/>
      <c r="DH14" s="880"/>
      <c r="DI14" s="880"/>
      <c r="DJ14" s="880"/>
      <c r="DK14" s="880"/>
      <c r="DL14" s="880"/>
      <c r="DM14" s="880"/>
      <c r="DN14" s="880"/>
      <c r="DO14" s="880"/>
      <c r="DP14" s="880"/>
      <c r="DQ14" s="880"/>
      <c r="DR14" s="880"/>
      <c r="DS14" s="880"/>
      <c r="DT14" s="880"/>
      <c r="DU14" s="880"/>
      <c r="DV14" s="880"/>
      <c r="DW14" s="880"/>
      <c r="DX14" s="880"/>
      <c r="DY14" s="880"/>
      <c r="DZ14" s="880"/>
      <c r="EA14" s="880"/>
      <c r="EB14" s="880"/>
      <c r="EC14" s="880"/>
      <c r="ED14" s="880"/>
      <c r="EE14" s="880"/>
      <c r="EF14" s="880"/>
      <c r="EG14" s="880"/>
      <c r="EH14" s="880"/>
      <c r="EI14" s="880"/>
      <c r="EJ14" s="880"/>
      <c r="EK14" s="880"/>
      <c r="EL14" s="880"/>
      <c r="EM14" s="880"/>
      <c r="EN14" s="880"/>
      <c r="EO14" s="880"/>
      <c r="EP14" s="880"/>
      <c r="EQ14" s="880"/>
      <c r="ER14" s="880"/>
      <c r="ES14" s="880"/>
      <c r="ET14" s="880"/>
      <c r="EU14" s="880"/>
      <c r="EV14" s="880"/>
      <c r="EW14" s="880"/>
      <c r="EX14" s="880"/>
      <c r="EY14" s="880"/>
      <c r="EZ14" s="880"/>
      <c r="FA14" s="880"/>
      <c r="FB14" s="880"/>
      <c r="FC14" s="880"/>
      <c r="FD14" s="880"/>
      <c r="FE14" s="880"/>
      <c r="FF14" s="880"/>
      <c r="FG14" s="880"/>
      <c r="FH14" s="880"/>
      <c r="FI14" s="880"/>
      <c r="FJ14" s="880"/>
      <c r="FK14" s="880"/>
      <c r="FL14" s="880"/>
      <c r="FM14" s="880"/>
      <c r="FN14" s="880"/>
      <c r="FO14" s="880"/>
      <c r="FP14" s="880"/>
      <c r="FQ14" s="880"/>
      <c r="FR14" s="880"/>
      <c r="FS14" s="880"/>
      <c r="FT14" s="880"/>
      <c r="FU14" s="880"/>
      <c r="FV14" s="880"/>
      <c r="FW14" s="880"/>
      <c r="FX14" s="880"/>
      <c r="FY14" s="880"/>
      <c r="FZ14" s="880"/>
      <c r="GA14" s="880"/>
      <c r="GB14" s="880"/>
      <c r="GC14" s="880"/>
      <c r="GD14" s="880"/>
      <c r="GE14" s="880"/>
      <c r="GF14" s="880"/>
      <c r="GG14" s="880"/>
      <c r="GH14" s="880"/>
      <c r="GI14" s="880"/>
      <c r="GJ14" s="880"/>
      <c r="GK14" s="880"/>
      <c r="GL14" s="880"/>
      <c r="GM14" s="880"/>
      <c r="GN14" s="880"/>
      <c r="GO14" s="880"/>
      <c r="GP14" s="880"/>
      <c r="GQ14" s="880"/>
      <c r="GR14" s="880"/>
      <c r="GS14" s="880"/>
      <c r="GT14" s="880"/>
      <c r="GU14" s="880"/>
      <c r="GV14" s="880"/>
      <c r="GW14" s="880"/>
      <c r="GX14" s="880"/>
      <c r="GY14" s="880"/>
      <c r="GZ14" s="880"/>
      <c r="HA14" s="880"/>
      <c r="HB14" s="880"/>
      <c r="HC14" s="880"/>
      <c r="HD14" s="880"/>
      <c r="HE14" s="880"/>
      <c r="HF14" s="880"/>
      <c r="HG14" s="880"/>
      <c r="HH14" s="880"/>
      <c r="HI14" s="880"/>
      <c r="HJ14" s="880"/>
      <c r="HK14" s="880"/>
      <c r="HL14" s="880"/>
      <c r="HM14" s="880"/>
      <c r="HN14" s="880"/>
      <c r="HO14" s="880"/>
      <c r="HP14" s="880"/>
      <c r="HQ14" s="880"/>
      <c r="HR14" s="880"/>
      <c r="HS14" s="880"/>
      <c r="HT14" s="880"/>
      <c r="HU14" s="880"/>
      <c r="HV14" s="880"/>
      <c r="HW14" s="880"/>
      <c r="HX14" s="880"/>
      <c r="HY14" s="880"/>
      <c r="HZ14" s="880"/>
      <c r="IA14" s="880"/>
      <c r="IB14" s="880"/>
      <c r="IC14" s="880"/>
      <c r="ID14" s="880"/>
      <c r="IE14" s="880"/>
      <c r="IF14" s="880"/>
      <c r="IG14" s="880"/>
      <c r="IH14" s="880"/>
      <c r="II14" s="880"/>
      <c r="IJ14" s="880"/>
      <c r="IK14" s="880"/>
      <c r="IL14" s="880"/>
      <c r="IM14" s="880"/>
      <c r="IN14" s="880"/>
      <c r="IO14" s="880"/>
      <c r="IP14" s="880"/>
      <c r="IQ14" s="880"/>
      <c r="IR14" s="880"/>
      <c r="IS14" s="880"/>
      <c r="IT14" s="880"/>
      <c r="IU14" s="880"/>
      <c r="IV14" s="880"/>
      <c r="IW14" s="880"/>
      <c r="IX14" s="880"/>
      <c r="IY14" s="880"/>
      <c r="IZ14" s="880"/>
      <c r="JA14" s="880"/>
      <c r="JB14" s="880"/>
      <c r="JC14" s="880"/>
      <c r="JD14" s="880"/>
      <c r="JE14" s="880"/>
      <c r="JF14" s="880"/>
      <c r="JG14" s="880"/>
      <c r="JH14" s="880"/>
      <c r="JI14" s="880"/>
      <c r="JJ14" s="880"/>
      <c r="JK14" s="880"/>
      <c r="JL14" s="880"/>
      <c r="JM14" s="880"/>
      <c r="JN14" s="880"/>
      <c r="JO14" s="880"/>
      <c r="JP14" s="880"/>
      <c r="JQ14" s="880"/>
      <c r="JR14" s="880"/>
      <c r="JS14" s="880"/>
      <c r="JT14" s="880"/>
      <c r="JU14" s="880"/>
      <c r="JV14" s="880"/>
      <c r="JW14" s="880"/>
      <c r="JX14" s="880"/>
      <c r="JY14" s="880"/>
      <c r="JZ14" s="880"/>
      <c r="KA14" s="880"/>
      <c r="KB14" s="880"/>
      <c r="KC14" s="880"/>
      <c r="KD14" s="880"/>
      <c r="KE14" s="880"/>
      <c r="KF14" s="880"/>
      <c r="KG14" s="880"/>
      <c r="KH14" s="880"/>
      <c r="KI14" s="880"/>
      <c r="KJ14" s="880"/>
      <c r="KK14" s="880"/>
      <c r="KL14" s="880"/>
      <c r="KM14" s="880"/>
      <c r="KN14" s="880"/>
      <c r="KO14" s="880"/>
      <c r="KP14" s="880"/>
      <c r="KQ14" s="880"/>
      <c r="KR14" s="880"/>
      <c r="KS14" s="880"/>
      <c r="KT14" s="880"/>
      <c r="KU14" s="880"/>
      <c r="KV14" s="880"/>
      <c r="KW14" s="880"/>
      <c r="KX14" s="880"/>
      <c r="KY14" s="880"/>
      <c r="KZ14" s="880"/>
      <c r="LA14" s="880"/>
      <c r="LB14" s="880"/>
      <c r="LC14" s="880"/>
      <c r="LD14" s="880"/>
      <c r="LE14" s="880"/>
      <c r="LF14" s="880"/>
      <c r="LG14" s="880"/>
      <c r="LH14" s="880"/>
      <c r="LI14" s="880"/>
      <c r="LJ14" s="880"/>
      <c r="LK14" s="880"/>
      <c r="LL14" s="880"/>
      <c r="LM14" s="880"/>
      <c r="LN14" s="880"/>
      <c r="LO14" s="880"/>
      <c r="LP14" s="880"/>
      <c r="LQ14" s="880"/>
      <c r="LR14" s="880"/>
      <c r="LS14" s="880"/>
      <c r="LT14" s="880"/>
      <c r="LU14" s="880"/>
      <c r="LV14" s="880"/>
      <c r="LW14" s="880"/>
      <c r="LX14" s="880"/>
      <c r="LY14" s="880"/>
      <c r="LZ14" s="880"/>
      <c r="MA14" s="880"/>
      <c r="MB14" s="880"/>
      <c r="MC14" s="880"/>
      <c r="MD14" s="880"/>
      <c r="ME14" s="880"/>
      <c r="MF14" s="880"/>
      <c r="MG14" s="880"/>
      <c r="MH14" s="880"/>
      <c r="MI14" s="880"/>
      <c r="MJ14" s="880"/>
      <c r="MK14" s="880"/>
      <c r="ML14" s="880"/>
      <c r="MM14" s="880"/>
      <c r="MN14" s="880"/>
      <c r="MO14" s="880"/>
      <c r="MP14" s="880"/>
      <c r="MQ14" s="880"/>
      <c r="MR14" s="880"/>
      <c r="MS14" s="880"/>
      <c r="MT14" s="880"/>
      <c r="MU14" s="880"/>
      <c r="MV14" s="880"/>
      <c r="MW14" s="880"/>
      <c r="MX14" s="880"/>
      <c r="MY14" s="880"/>
      <c r="MZ14" s="880"/>
      <c r="NA14" s="880"/>
      <c r="NB14" s="880"/>
      <c r="NC14" s="880"/>
      <c r="ND14" s="880"/>
      <c r="NE14" s="880"/>
      <c r="NF14" s="880"/>
      <c r="NG14" s="880"/>
      <c r="NH14" s="880"/>
      <c r="NI14" s="880"/>
      <c r="NJ14" s="880"/>
      <c r="NK14" s="880"/>
      <c r="NL14" s="880"/>
      <c r="NM14" s="880"/>
      <c r="NN14" s="880"/>
      <c r="NO14" s="880"/>
      <c r="NP14" s="880"/>
      <c r="NQ14" s="880"/>
      <c r="NR14" s="880"/>
      <c r="NS14" s="880"/>
      <c r="NT14" s="880"/>
      <c r="NU14" s="880"/>
      <c r="NV14" s="880"/>
      <c r="NW14" s="880"/>
      <c r="NX14" s="880"/>
      <c r="NY14" s="880"/>
      <c r="NZ14" s="880"/>
      <c r="OA14" s="880"/>
      <c r="OB14" s="880"/>
      <c r="OC14" s="880"/>
      <c r="OD14" s="880"/>
      <c r="OE14" s="880"/>
      <c r="OF14" s="880"/>
      <c r="OG14" s="880"/>
      <c r="OH14" s="880"/>
      <c r="OI14" s="880"/>
      <c r="OJ14" s="880"/>
      <c r="OK14" s="880"/>
      <c r="OL14" s="880"/>
      <c r="OM14" s="880"/>
      <c r="ON14" s="880"/>
      <c r="OO14" s="880"/>
      <c r="OP14" s="880"/>
      <c r="OQ14" s="880"/>
      <c r="OR14" s="880"/>
      <c r="OS14" s="880"/>
      <c r="OT14" s="880"/>
      <c r="OU14" s="880"/>
      <c r="OV14" s="880"/>
      <c r="OW14" s="880"/>
      <c r="OX14" s="880"/>
      <c r="OY14" s="880"/>
      <c r="OZ14" s="880"/>
      <c r="PA14" s="880"/>
      <c r="PB14" s="880"/>
      <c r="PC14" s="880"/>
      <c r="PD14" s="880"/>
      <c r="PE14" s="880"/>
      <c r="PF14" s="880"/>
      <c r="PG14" s="880"/>
      <c r="PH14" s="880"/>
      <c r="PI14" s="880"/>
      <c r="PJ14" s="880"/>
      <c r="PK14" s="880"/>
      <c r="PL14" s="880"/>
      <c r="PM14" s="880"/>
      <c r="PN14" s="880"/>
      <c r="PO14" s="880"/>
      <c r="PP14" s="880"/>
      <c r="PQ14" s="880"/>
      <c r="PR14" s="880"/>
      <c r="PS14" s="880"/>
      <c r="PT14" s="880"/>
      <c r="PU14" s="880"/>
      <c r="PV14" s="880"/>
      <c r="PW14" s="880"/>
      <c r="PX14" s="880"/>
      <c r="PY14" s="880"/>
      <c r="PZ14" s="880"/>
      <c r="QA14" s="880"/>
      <c r="QB14" s="880"/>
      <c r="QC14" s="880"/>
      <c r="QD14" s="880"/>
      <c r="QE14" s="880"/>
      <c r="QF14" s="880"/>
      <c r="QG14" s="880"/>
      <c r="QH14" s="880"/>
      <c r="QI14" s="880"/>
      <c r="QJ14" s="880"/>
      <c r="QK14" s="880"/>
      <c r="QL14" s="880"/>
      <c r="QM14" s="880"/>
      <c r="QN14" s="880"/>
      <c r="QO14" s="880"/>
      <c r="QP14" s="880"/>
      <c r="QQ14" s="880"/>
      <c r="QR14" s="880"/>
      <c r="QS14" s="880"/>
      <c r="QT14" s="880"/>
      <c r="QU14" s="880"/>
      <c r="QV14" s="880"/>
      <c r="QW14" s="880"/>
      <c r="QX14" s="880"/>
      <c r="QY14" s="880"/>
      <c r="QZ14" s="880"/>
      <c r="RA14" s="880"/>
      <c r="RB14" s="880"/>
      <c r="RC14" s="880"/>
      <c r="RD14" s="880"/>
      <c r="RE14" s="880"/>
      <c r="RF14" s="880"/>
      <c r="RG14" s="880"/>
      <c r="RH14" s="880"/>
      <c r="RI14" s="880"/>
      <c r="RJ14" s="880"/>
      <c r="RK14" s="880"/>
      <c r="RL14" s="880"/>
      <c r="RM14" s="880"/>
      <c r="RN14" s="880"/>
      <c r="RO14" s="880"/>
      <c r="RP14" s="880"/>
      <c r="RQ14" s="880"/>
      <c r="RR14" s="880"/>
      <c r="RS14" s="880"/>
      <c r="RT14" s="880"/>
      <c r="RU14" s="880"/>
      <c r="RV14" s="880"/>
      <c r="RW14" s="880"/>
      <c r="RX14" s="880"/>
      <c r="RY14" s="880"/>
      <c r="RZ14" s="880"/>
      <c r="SA14" s="880"/>
      <c r="SB14" s="880"/>
      <c r="SC14" s="880"/>
      <c r="SD14" s="880"/>
      <c r="SE14" s="880"/>
      <c r="SF14" s="880"/>
      <c r="SG14" s="880"/>
      <c r="SH14" s="880"/>
      <c r="SI14" s="880"/>
      <c r="SJ14" s="880"/>
      <c r="SK14" s="880"/>
      <c r="SL14" s="880"/>
      <c r="SM14" s="880"/>
      <c r="SN14" s="880"/>
      <c r="SO14" s="880"/>
      <c r="SP14" s="880"/>
      <c r="SQ14" s="880"/>
      <c r="SR14" s="880"/>
      <c r="SS14" s="880"/>
      <c r="ST14" s="880"/>
      <c r="SU14" s="880"/>
      <c r="SV14" s="880"/>
      <c r="SW14" s="880"/>
      <c r="SX14" s="880"/>
      <c r="SY14" s="880"/>
      <c r="SZ14" s="880"/>
      <c r="TA14" s="880"/>
      <c r="TB14" s="880"/>
      <c r="TC14" s="880"/>
      <c r="TD14" s="880"/>
      <c r="TE14" s="880"/>
      <c r="TF14" s="880"/>
      <c r="TG14" s="880"/>
      <c r="TH14" s="880"/>
      <c r="TI14" s="880"/>
      <c r="TJ14" s="880"/>
      <c r="TK14" s="880"/>
      <c r="TL14" s="880"/>
      <c r="TM14" s="880"/>
      <c r="TN14" s="880"/>
      <c r="TO14" s="880"/>
      <c r="TP14" s="880"/>
      <c r="TQ14" s="880"/>
      <c r="TR14" s="880"/>
      <c r="TS14" s="880"/>
      <c r="TT14" s="880"/>
      <c r="TU14" s="880"/>
      <c r="TV14" s="880"/>
      <c r="TW14" s="880"/>
      <c r="TX14" s="880"/>
      <c r="TY14" s="880"/>
      <c r="TZ14" s="880"/>
      <c r="UA14" s="880"/>
      <c r="UB14" s="880"/>
      <c r="UC14" s="880"/>
      <c r="UD14" s="880"/>
      <c r="UE14" s="880"/>
      <c r="UF14" s="880"/>
      <c r="UG14" s="880"/>
      <c r="UH14" s="880"/>
      <c r="UI14" s="880"/>
      <c r="UJ14" s="880"/>
      <c r="UK14" s="880"/>
      <c r="UL14" s="880"/>
      <c r="UM14" s="880"/>
      <c r="UN14" s="880"/>
      <c r="UO14" s="880"/>
      <c r="UP14" s="880"/>
      <c r="UQ14" s="880"/>
      <c r="UR14" s="880"/>
      <c r="US14" s="880"/>
      <c r="UT14" s="880"/>
      <c r="UU14" s="880"/>
      <c r="UV14" s="880"/>
      <c r="UW14" s="880"/>
      <c r="UX14" s="880"/>
      <c r="UY14" s="880"/>
      <c r="UZ14" s="880"/>
      <c r="VA14" s="880"/>
      <c r="VB14" s="880"/>
      <c r="VC14" s="880"/>
      <c r="VD14" s="880"/>
      <c r="VE14" s="880"/>
      <c r="VF14" s="880"/>
      <c r="VG14" s="880"/>
      <c r="VH14" s="880"/>
      <c r="VI14" s="880"/>
      <c r="VJ14" s="880"/>
      <c r="VK14" s="880"/>
      <c r="VL14" s="880"/>
      <c r="VM14" s="880"/>
      <c r="VN14" s="880"/>
      <c r="VO14" s="880"/>
      <c r="VP14" s="880"/>
      <c r="VQ14" s="880"/>
      <c r="VR14" s="880"/>
      <c r="VS14" s="880"/>
      <c r="VT14" s="880"/>
      <c r="VU14" s="880"/>
      <c r="VV14" s="880"/>
      <c r="VW14" s="880"/>
      <c r="VX14" s="880"/>
      <c r="VY14" s="880"/>
      <c r="VZ14" s="880"/>
      <c r="WA14" s="880"/>
      <c r="WB14" s="880"/>
      <c r="WC14" s="880"/>
      <c r="WD14" s="880"/>
      <c r="WE14" s="880"/>
      <c r="WF14" s="880"/>
      <c r="WG14" s="880"/>
      <c r="WH14" s="880"/>
      <c r="WI14" s="880"/>
      <c r="WJ14" s="880"/>
      <c r="WK14" s="880"/>
      <c r="WL14" s="880"/>
      <c r="WM14" s="880"/>
      <c r="WN14" s="880"/>
      <c r="WO14" s="880"/>
      <c r="WP14" s="880"/>
      <c r="WQ14" s="880"/>
      <c r="WR14" s="880"/>
      <c r="WS14" s="880"/>
      <c r="WT14" s="880"/>
      <c r="WU14" s="880"/>
      <c r="WV14" s="880"/>
      <c r="WW14" s="880"/>
      <c r="WX14" s="880"/>
      <c r="WY14" s="880"/>
      <c r="WZ14" s="880"/>
      <c r="XA14" s="880"/>
      <c r="XB14" s="880"/>
      <c r="XC14" s="880"/>
      <c r="XD14" s="880"/>
      <c r="XE14" s="880"/>
      <c r="XF14" s="880"/>
      <c r="XG14" s="880"/>
      <c r="XH14" s="880"/>
      <c r="XI14" s="880"/>
      <c r="XJ14" s="880"/>
      <c r="XK14" s="880"/>
      <c r="XL14" s="880"/>
      <c r="XM14" s="880"/>
      <c r="XN14" s="880"/>
      <c r="XO14" s="880"/>
      <c r="XP14" s="880"/>
      <c r="XQ14" s="880"/>
      <c r="XR14" s="880"/>
      <c r="XS14" s="880"/>
      <c r="XT14" s="880"/>
      <c r="XU14" s="880"/>
      <c r="XV14" s="880"/>
      <c r="XW14" s="880"/>
      <c r="XX14" s="880"/>
      <c r="XY14" s="880"/>
      <c r="XZ14" s="880"/>
      <c r="YA14" s="880"/>
      <c r="YB14" s="880"/>
      <c r="YC14" s="880"/>
      <c r="YD14" s="880"/>
      <c r="YE14" s="880"/>
      <c r="YF14" s="880"/>
      <c r="YG14" s="880"/>
      <c r="YH14" s="880"/>
      <c r="YI14" s="880"/>
      <c r="YJ14" s="880"/>
      <c r="YK14" s="880"/>
      <c r="YL14" s="880"/>
      <c r="YM14" s="880"/>
      <c r="YN14" s="880"/>
      <c r="YO14" s="880"/>
      <c r="YP14" s="880"/>
      <c r="YQ14" s="880"/>
      <c r="YR14" s="880"/>
      <c r="YS14" s="880"/>
      <c r="YT14" s="880"/>
      <c r="YU14" s="880"/>
      <c r="YV14" s="880"/>
      <c r="YW14" s="880"/>
      <c r="YX14" s="880"/>
      <c r="YY14" s="880"/>
      <c r="YZ14" s="880"/>
      <c r="ZA14" s="880"/>
      <c r="ZB14" s="880"/>
      <c r="ZC14" s="880"/>
      <c r="ZD14" s="880"/>
      <c r="ZE14" s="880"/>
      <c r="ZF14" s="880"/>
      <c r="ZG14" s="880"/>
      <c r="ZH14" s="880"/>
      <c r="ZI14" s="880"/>
      <c r="ZJ14" s="880"/>
      <c r="ZK14" s="880"/>
      <c r="ZL14" s="880"/>
      <c r="ZM14" s="880"/>
      <c r="ZN14" s="880"/>
      <c r="ZO14" s="880"/>
      <c r="ZP14" s="880"/>
      <c r="ZQ14" s="880"/>
      <c r="ZR14" s="880"/>
      <c r="ZS14" s="880"/>
      <c r="ZT14" s="880"/>
      <c r="ZU14" s="880"/>
      <c r="ZV14" s="880"/>
      <c r="ZW14" s="880"/>
      <c r="ZX14" s="880"/>
      <c r="ZY14" s="880"/>
      <c r="ZZ14" s="880"/>
      <c r="AAA14" s="880"/>
      <c r="AAB14" s="880"/>
      <c r="AAC14" s="880"/>
      <c r="AAD14" s="880"/>
      <c r="AAE14" s="880"/>
      <c r="AAF14" s="880"/>
      <c r="AAG14" s="880"/>
      <c r="AAH14" s="880"/>
      <c r="AAI14" s="880"/>
      <c r="AAJ14" s="880"/>
      <c r="AAK14" s="880"/>
      <c r="AAL14" s="880"/>
      <c r="AAM14" s="880"/>
      <c r="AAN14" s="880"/>
      <c r="AAO14" s="880"/>
      <c r="AAP14" s="880"/>
      <c r="AAQ14" s="880"/>
      <c r="AAR14" s="880"/>
      <c r="AAS14" s="880"/>
      <c r="AAT14" s="880"/>
      <c r="AAU14" s="880"/>
      <c r="AAV14" s="880"/>
      <c r="AAW14" s="880"/>
      <c r="AAX14" s="880"/>
      <c r="AAY14" s="880"/>
      <c r="AAZ14" s="880"/>
      <c r="ABA14" s="880"/>
      <c r="ABB14" s="880"/>
      <c r="ABC14" s="880"/>
      <c r="ABD14" s="880"/>
      <c r="ABE14" s="880"/>
      <c r="ABF14" s="880"/>
      <c r="ABG14" s="880"/>
      <c r="ABH14" s="880"/>
      <c r="ABI14" s="880"/>
      <c r="ABJ14" s="880"/>
      <c r="ABK14" s="880"/>
      <c r="ABL14" s="880"/>
      <c r="ABM14" s="880"/>
      <c r="ABN14" s="880"/>
      <c r="ABO14" s="880"/>
      <c r="ABP14" s="880"/>
      <c r="ABQ14" s="880"/>
      <c r="ABR14" s="880"/>
      <c r="ABS14" s="880"/>
      <c r="ABT14" s="880"/>
      <c r="ABU14" s="880"/>
      <c r="ABV14" s="880"/>
      <c r="ABW14" s="880"/>
      <c r="ABX14" s="880"/>
      <c r="ABY14" s="880"/>
      <c r="ABZ14" s="880"/>
      <c r="ACA14" s="880"/>
      <c r="ACB14" s="880"/>
      <c r="ACC14" s="880"/>
      <c r="ACD14" s="880"/>
      <c r="ACE14" s="880"/>
      <c r="ACF14" s="880"/>
      <c r="ACG14" s="880"/>
      <c r="ACH14" s="880"/>
      <c r="ACI14" s="880"/>
      <c r="ACJ14" s="880"/>
      <c r="ACK14" s="880"/>
      <c r="ACL14" s="880"/>
      <c r="ACM14" s="880"/>
      <c r="ACN14" s="880"/>
      <c r="ACO14" s="880"/>
      <c r="ACP14" s="880"/>
      <c r="ACQ14" s="880"/>
      <c r="ACR14" s="880"/>
      <c r="ACS14" s="880"/>
      <c r="ACT14" s="880"/>
      <c r="ACU14" s="880"/>
      <c r="ACV14" s="880"/>
      <c r="ACW14" s="880"/>
      <c r="ACX14" s="880"/>
      <c r="ACY14" s="880"/>
      <c r="ACZ14" s="880"/>
      <c r="ADA14" s="880"/>
      <c r="ADB14" s="880"/>
      <c r="ADC14" s="880"/>
      <c r="ADD14" s="880"/>
      <c r="ADE14" s="880"/>
      <c r="ADF14" s="880"/>
      <c r="ADG14" s="880"/>
      <c r="ADH14" s="880"/>
      <c r="ADI14" s="880"/>
      <c r="ADJ14" s="880"/>
      <c r="ADK14" s="880"/>
      <c r="ADL14" s="880"/>
      <c r="ADM14" s="880"/>
      <c r="ADN14" s="880"/>
      <c r="ADO14" s="880"/>
      <c r="ADP14" s="880"/>
      <c r="ADQ14" s="880"/>
      <c r="ADR14" s="880"/>
      <c r="ADS14" s="880"/>
      <c r="ADT14" s="880"/>
      <c r="ADU14" s="880"/>
      <c r="ADV14" s="880"/>
      <c r="ADW14" s="880"/>
      <c r="ADX14" s="880"/>
      <c r="ADY14" s="880"/>
      <c r="ADZ14" s="880"/>
      <c r="AEA14" s="880"/>
      <c r="AEB14" s="880"/>
      <c r="AEC14" s="880"/>
      <c r="AED14" s="880"/>
      <c r="AEE14" s="880"/>
      <c r="AEF14" s="880"/>
      <c r="AEG14" s="880"/>
      <c r="AEH14" s="880"/>
      <c r="AEI14" s="880"/>
      <c r="AEJ14" s="880"/>
      <c r="AEK14" s="880"/>
      <c r="AEL14" s="880"/>
      <c r="AEM14" s="880"/>
      <c r="AEN14" s="880"/>
      <c r="AEO14" s="880"/>
      <c r="AEP14" s="880"/>
      <c r="AEQ14" s="880"/>
      <c r="AER14" s="880"/>
      <c r="AES14" s="880"/>
      <c r="AET14" s="880"/>
      <c r="AEU14" s="880"/>
      <c r="AEV14" s="880"/>
      <c r="AEW14" s="880"/>
      <c r="AEX14" s="880"/>
      <c r="AEY14" s="880"/>
      <c r="AEZ14" s="880"/>
      <c r="AFA14" s="880"/>
      <c r="AFB14" s="880"/>
      <c r="AFC14" s="880"/>
      <c r="AFD14" s="880"/>
      <c r="AFE14" s="880"/>
      <c r="AFF14" s="880"/>
      <c r="AFG14" s="880"/>
      <c r="AFH14" s="880"/>
      <c r="AFI14" s="880"/>
      <c r="AFJ14" s="880"/>
      <c r="AFK14" s="880"/>
      <c r="AFL14" s="880"/>
      <c r="AFM14" s="880"/>
      <c r="AFN14" s="880"/>
      <c r="AFO14" s="880"/>
      <c r="AFP14" s="880"/>
      <c r="AFQ14" s="880"/>
      <c r="AFR14" s="880"/>
      <c r="AFS14" s="880"/>
      <c r="AFT14" s="880"/>
      <c r="AFU14" s="880"/>
      <c r="AFV14" s="880"/>
      <c r="AFW14" s="880"/>
      <c r="AFX14" s="880"/>
      <c r="AFY14" s="880"/>
      <c r="AFZ14" s="880"/>
      <c r="AGA14" s="880"/>
      <c r="AGB14" s="880"/>
      <c r="AGC14" s="880"/>
      <c r="AGD14" s="880"/>
      <c r="AGE14" s="880"/>
      <c r="AGF14" s="880"/>
      <c r="AGG14" s="880"/>
      <c r="AGH14" s="880"/>
      <c r="AGI14" s="880"/>
      <c r="AGJ14" s="880"/>
      <c r="AGK14" s="880"/>
      <c r="AGL14" s="880"/>
      <c r="AGM14" s="880"/>
      <c r="AGN14" s="880"/>
      <c r="AGO14" s="880"/>
      <c r="AGP14" s="880"/>
      <c r="AGQ14" s="880"/>
      <c r="AGR14" s="880"/>
      <c r="AGS14" s="880"/>
      <c r="AGT14" s="880"/>
      <c r="AGU14" s="880"/>
      <c r="AGV14" s="880"/>
      <c r="AGW14" s="880"/>
      <c r="AGX14" s="880"/>
      <c r="AGY14" s="880"/>
      <c r="AGZ14" s="880"/>
      <c r="AHA14" s="880"/>
      <c r="AHB14" s="880"/>
      <c r="AHC14" s="880"/>
      <c r="AHD14" s="880"/>
      <c r="AHE14" s="880"/>
      <c r="AHF14" s="880"/>
      <c r="AHG14" s="880"/>
      <c r="AHH14" s="880"/>
      <c r="AHI14" s="880"/>
      <c r="AHJ14" s="880"/>
      <c r="AHK14" s="880"/>
      <c r="AHL14" s="880"/>
      <c r="AHM14" s="880"/>
      <c r="AHN14" s="880"/>
      <c r="AHO14" s="880"/>
      <c r="AHP14" s="880"/>
      <c r="AHQ14" s="880"/>
      <c r="AHR14" s="880"/>
      <c r="AHS14" s="880"/>
      <c r="AHT14" s="880"/>
      <c r="AHU14" s="880"/>
      <c r="AHV14" s="880"/>
      <c r="AHW14" s="880"/>
      <c r="AHX14" s="880"/>
      <c r="AHY14" s="880"/>
      <c r="AHZ14" s="880"/>
      <c r="AIA14" s="880"/>
      <c r="AIB14" s="880"/>
      <c r="AIC14" s="880"/>
      <c r="AID14" s="880"/>
      <c r="AIE14" s="880"/>
      <c r="AIF14" s="880"/>
      <c r="AIG14" s="880"/>
      <c r="AIH14" s="880"/>
      <c r="AII14" s="880"/>
      <c r="AIJ14" s="880"/>
      <c r="AIK14" s="880"/>
      <c r="AIL14" s="880"/>
      <c r="AIM14" s="880"/>
      <c r="AIN14" s="880"/>
      <c r="AIO14" s="880"/>
      <c r="AIP14" s="880"/>
      <c r="AIQ14" s="880"/>
      <c r="AIR14" s="880"/>
      <c r="AIS14" s="880"/>
      <c r="AIT14" s="880"/>
      <c r="AIU14" s="880"/>
      <c r="AIV14" s="880"/>
      <c r="AIW14" s="880"/>
      <c r="AIX14" s="880"/>
      <c r="AIY14" s="880"/>
      <c r="AIZ14" s="880"/>
      <c r="AJA14" s="880"/>
      <c r="AJB14" s="880"/>
      <c r="AJC14" s="880"/>
      <c r="AJD14" s="880"/>
      <c r="AJE14" s="880"/>
      <c r="AJF14" s="880"/>
      <c r="AJG14" s="880"/>
      <c r="AJH14" s="880"/>
      <c r="AJI14" s="880"/>
      <c r="AJJ14" s="880"/>
      <c r="AJK14" s="880"/>
      <c r="AJL14" s="880"/>
      <c r="AJM14" s="880"/>
      <c r="AJN14" s="880"/>
      <c r="AJO14" s="880"/>
      <c r="AJP14" s="880"/>
      <c r="AJQ14" s="880"/>
      <c r="AJR14" s="880"/>
      <c r="AJS14" s="880"/>
      <c r="AJT14" s="880"/>
      <c r="AJU14" s="880"/>
      <c r="AJV14" s="880"/>
      <c r="AJW14" s="880"/>
      <c r="AJX14" s="880"/>
      <c r="AJY14" s="880"/>
      <c r="AJZ14" s="880"/>
      <c r="AKA14" s="880"/>
      <c r="AKB14" s="880"/>
      <c r="AKC14" s="880"/>
      <c r="AKD14" s="880"/>
      <c r="AKE14" s="880"/>
      <c r="AKF14" s="880"/>
      <c r="AKG14" s="880"/>
      <c r="AKH14" s="880"/>
      <c r="AKI14" s="880"/>
      <c r="AKJ14" s="880"/>
      <c r="AKK14" s="880"/>
      <c r="AKL14" s="880"/>
      <c r="AKM14" s="880"/>
      <c r="AKN14" s="880"/>
      <c r="AKO14" s="880"/>
      <c r="AKP14" s="880"/>
      <c r="AKQ14" s="880"/>
      <c r="AKR14" s="880"/>
      <c r="AKS14" s="880"/>
      <c r="AKT14" s="880"/>
      <c r="AKU14" s="880"/>
      <c r="AKV14" s="880"/>
      <c r="AKW14" s="880"/>
    </row>
    <row r="15" spans="1:985" ht="32.25" customHeight="1" x14ac:dyDescent="0.3">
      <c r="A15" s="1121" t="s">
        <v>71</v>
      </c>
      <c r="B15" s="1122"/>
      <c r="C15" s="1119">
        <f>C13*C14</f>
        <v>0</v>
      </c>
      <c r="D15" s="1120"/>
      <c r="E15" s="758"/>
      <c r="F15" s="430" t="s">
        <v>72</v>
      </c>
      <c r="G15" s="461">
        <v>183</v>
      </c>
      <c r="H15" s="459" t="s">
        <v>73</v>
      </c>
      <c r="I15" s="457" t="e">
        <f>IF(($I$10*10^(($I$9-$G$15)/$C$28))&gt;$I$28,$I$28,$I$10*10^(($I$9-$G$15)/$C$28))</f>
        <v>#N/A</v>
      </c>
      <c r="J15" s="455" t="e">
        <f>I15*3.28</f>
        <v>#N/A</v>
      </c>
      <c r="K15" s="448"/>
      <c r="L15" s="1070" t="e">
        <f>(($I15^2)*PI())/1000000</f>
        <v>#N/A</v>
      </c>
      <c r="M15" s="1071"/>
      <c r="N15" s="885"/>
      <c r="O15" s="1162"/>
      <c r="P15" s="1163"/>
      <c r="Q15" s="1163"/>
      <c r="R15" s="880"/>
      <c r="S15" s="880"/>
      <c r="T15" s="880"/>
      <c r="U15" s="880"/>
      <c r="V15" s="880"/>
      <c r="W15" s="880"/>
      <c r="X15" s="880"/>
      <c r="Y15" s="880"/>
      <c r="Z15" s="880"/>
      <c r="AA15" s="880"/>
      <c r="AB15" s="880"/>
      <c r="AC15" s="880"/>
      <c r="AD15" s="880"/>
      <c r="AE15" s="880"/>
      <c r="AF15" s="880"/>
      <c r="AG15" s="880"/>
      <c r="AH15" s="880"/>
      <c r="AI15" s="880"/>
      <c r="AJ15" s="880"/>
      <c r="AK15" s="880"/>
      <c r="AL15" s="880"/>
      <c r="AM15" s="880"/>
      <c r="AN15" s="880"/>
      <c r="AO15" s="880"/>
      <c r="AP15" s="880"/>
      <c r="AQ15" s="880"/>
      <c r="AR15" s="880"/>
      <c r="AS15" s="880"/>
      <c r="AT15" s="880"/>
      <c r="AU15" s="880"/>
      <c r="AV15" s="880"/>
      <c r="AW15" s="880"/>
      <c r="AX15" s="880"/>
      <c r="AY15" s="880"/>
      <c r="AZ15" s="880"/>
      <c r="BA15" s="880"/>
      <c r="BB15" s="880"/>
      <c r="BC15" s="880"/>
      <c r="BD15" s="880"/>
      <c r="BE15" s="880"/>
      <c r="BF15" s="880"/>
      <c r="BG15" s="880"/>
      <c r="BH15" s="880"/>
      <c r="BI15" s="880"/>
      <c r="BJ15" s="880"/>
      <c r="BK15" s="880"/>
      <c r="BL15" s="880"/>
      <c r="BM15" s="880"/>
      <c r="BN15" s="880"/>
      <c r="BO15" s="880"/>
      <c r="BP15" s="880"/>
      <c r="BQ15" s="880"/>
      <c r="BR15" s="880"/>
      <c r="BS15" s="880"/>
      <c r="BT15" s="880"/>
      <c r="BU15" s="880"/>
      <c r="BV15" s="880"/>
      <c r="BW15" s="880"/>
      <c r="BX15" s="880"/>
      <c r="BY15" s="880"/>
      <c r="BZ15" s="880"/>
      <c r="CA15" s="880"/>
      <c r="CB15" s="880"/>
      <c r="CC15" s="880"/>
      <c r="CD15" s="880"/>
      <c r="CE15" s="880"/>
      <c r="CF15" s="880"/>
      <c r="CG15" s="880"/>
      <c r="CH15" s="880"/>
      <c r="CI15" s="880"/>
      <c r="CJ15" s="880"/>
      <c r="CK15" s="880"/>
      <c r="CL15" s="880"/>
      <c r="CM15" s="880"/>
      <c r="CN15" s="880"/>
      <c r="CO15" s="880"/>
      <c r="CP15" s="880"/>
      <c r="CQ15" s="880"/>
      <c r="CR15" s="880"/>
      <c r="CS15" s="880"/>
      <c r="CT15" s="880"/>
      <c r="CU15" s="880"/>
      <c r="CV15" s="880"/>
      <c r="CW15" s="880"/>
      <c r="CX15" s="880"/>
      <c r="CY15" s="880"/>
      <c r="CZ15" s="880"/>
      <c r="DA15" s="880"/>
      <c r="DB15" s="880"/>
      <c r="DC15" s="880"/>
      <c r="DD15" s="880"/>
      <c r="DE15" s="880"/>
      <c r="DF15" s="880"/>
      <c r="DG15" s="880"/>
      <c r="DH15" s="880"/>
      <c r="DI15" s="880"/>
      <c r="DJ15" s="880"/>
      <c r="DK15" s="880"/>
      <c r="DL15" s="880"/>
      <c r="DM15" s="880"/>
      <c r="DN15" s="880"/>
      <c r="DO15" s="880"/>
      <c r="DP15" s="880"/>
      <c r="DQ15" s="880"/>
      <c r="DR15" s="880"/>
      <c r="DS15" s="880"/>
      <c r="DT15" s="880"/>
      <c r="DU15" s="880"/>
      <c r="DV15" s="880"/>
      <c r="DW15" s="880"/>
      <c r="DX15" s="880"/>
      <c r="DY15" s="880"/>
      <c r="DZ15" s="880"/>
      <c r="EA15" s="880"/>
      <c r="EB15" s="880"/>
      <c r="EC15" s="880"/>
      <c r="ED15" s="880"/>
      <c r="EE15" s="880"/>
      <c r="EF15" s="880"/>
      <c r="EG15" s="880"/>
      <c r="EH15" s="880"/>
      <c r="EI15" s="880"/>
      <c r="EJ15" s="880"/>
      <c r="EK15" s="880"/>
      <c r="EL15" s="880"/>
      <c r="EM15" s="880"/>
      <c r="EN15" s="880"/>
      <c r="EO15" s="880"/>
      <c r="EP15" s="880"/>
      <c r="EQ15" s="880"/>
      <c r="ER15" s="880"/>
      <c r="ES15" s="880"/>
      <c r="ET15" s="880"/>
      <c r="EU15" s="880"/>
      <c r="EV15" s="880"/>
      <c r="EW15" s="880"/>
      <c r="EX15" s="880"/>
      <c r="EY15" s="880"/>
      <c r="EZ15" s="880"/>
      <c r="FA15" s="880"/>
      <c r="FB15" s="880"/>
      <c r="FC15" s="880"/>
      <c r="FD15" s="880"/>
      <c r="FE15" s="880"/>
      <c r="FF15" s="880"/>
      <c r="FG15" s="880"/>
      <c r="FH15" s="880"/>
      <c r="FI15" s="880"/>
      <c r="FJ15" s="880"/>
      <c r="FK15" s="880"/>
      <c r="FL15" s="880"/>
      <c r="FM15" s="880"/>
      <c r="FN15" s="880"/>
      <c r="FO15" s="880"/>
      <c r="FP15" s="880"/>
      <c r="FQ15" s="880"/>
      <c r="FR15" s="880"/>
      <c r="FS15" s="880"/>
      <c r="FT15" s="880"/>
      <c r="FU15" s="880"/>
      <c r="FV15" s="880"/>
      <c r="FW15" s="880"/>
      <c r="FX15" s="880"/>
      <c r="FY15" s="880"/>
      <c r="FZ15" s="880"/>
      <c r="GA15" s="880"/>
      <c r="GB15" s="880"/>
      <c r="GC15" s="880"/>
      <c r="GD15" s="880"/>
      <c r="GE15" s="880"/>
      <c r="GF15" s="880"/>
      <c r="GG15" s="880"/>
      <c r="GH15" s="880"/>
      <c r="GI15" s="880"/>
      <c r="GJ15" s="880"/>
      <c r="GK15" s="880"/>
      <c r="GL15" s="880"/>
      <c r="GM15" s="880"/>
      <c r="GN15" s="880"/>
      <c r="GO15" s="880"/>
      <c r="GP15" s="880"/>
      <c r="GQ15" s="880"/>
      <c r="GR15" s="880"/>
      <c r="GS15" s="880"/>
      <c r="GT15" s="880"/>
      <c r="GU15" s="880"/>
      <c r="GV15" s="880"/>
      <c r="GW15" s="880"/>
      <c r="GX15" s="880"/>
      <c r="GY15" s="880"/>
      <c r="GZ15" s="880"/>
      <c r="HA15" s="880"/>
      <c r="HB15" s="880"/>
      <c r="HC15" s="880"/>
      <c r="HD15" s="880"/>
      <c r="HE15" s="880"/>
      <c r="HF15" s="880"/>
      <c r="HG15" s="880"/>
      <c r="HH15" s="880"/>
      <c r="HI15" s="880"/>
      <c r="HJ15" s="880"/>
      <c r="HK15" s="880"/>
      <c r="HL15" s="880"/>
      <c r="HM15" s="880"/>
      <c r="HN15" s="880"/>
      <c r="HO15" s="880"/>
      <c r="HP15" s="880"/>
      <c r="HQ15" s="880"/>
      <c r="HR15" s="880"/>
      <c r="HS15" s="880"/>
      <c r="HT15" s="880"/>
      <c r="HU15" s="880"/>
      <c r="HV15" s="880"/>
      <c r="HW15" s="880"/>
      <c r="HX15" s="880"/>
      <c r="HY15" s="880"/>
      <c r="HZ15" s="880"/>
      <c r="IA15" s="880"/>
      <c r="IB15" s="880"/>
      <c r="IC15" s="880"/>
      <c r="ID15" s="880"/>
      <c r="IE15" s="880"/>
      <c r="IF15" s="880"/>
      <c r="IG15" s="880"/>
      <c r="IH15" s="880"/>
      <c r="II15" s="880"/>
      <c r="IJ15" s="880"/>
      <c r="IK15" s="880"/>
      <c r="IL15" s="880"/>
      <c r="IM15" s="880"/>
      <c r="IN15" s="880"/>
      <c r="IO15" s="880"/>
      <c r="IP15" s="880"/>
      <c r="IQ15" s="880"/>
      <c r="IR15" s="880"/>
      <c r="IS15" s="880"/>
      <c r="IT15" s="880"/>
      <c r="IU15" s="880"/>
      <c r="IV15" s="880"/>
      <c r="IW15" s="880"/>
      <c r="IX15" s="880"/>
      <c r="IY15" s="880"/>
      <c r="IZ15" s="880"/>
      <c r="JA15" s="880"/>
      <c r="JB15" s="880"/>
      <c r="JC15" s="880"/>
      <c r="JD15" s="880"/>
      <c r="JE15" s="880"/>
      <c r="JF15" s="880"/>
      <c r="JG15" s="880"/>
      <c r="JH15" s="880"/>
      <c r="JI15" s="880"/>
      <c r="JJ15" s="880"/>
      <c r="JK15" s="880"/>
      <c r="JL15" s="880"/>
      <c r="JM15" s="880"/>
      <c r="JN15" s="880"/>
      <c r="JO15" s="880"/>
      <c r="JP15" s="880"/>
      <c r="JQ15" s="880"/>
      <c r="JR15" s="880"/>
      <c r="JS15" s="880"/>
      <c r="JT15" s="880"/>
      <c r="JU15" s="880"/>
      <c r="JV15" s="880"/>
      <c r="JW15" s="880"/>
      <c r="JX15" s="880"/>
      <c r="JY15" s="880"/>
      <c r="JZ15" s="880"/>
      <c r="KA15" s="880"/>
      <c r="KB15" s="880"/>
      <c r="KC15" s="880"/>
      <c r="KD15" s="880"/>
      <c r="KE15" s="880"/>
      <c r="KF15" s="880"/>
      <c r="KG15" s="880"/>
      <c r="KH15" s="880"/>
      <c r="KI15" s="880"/>
      <c r="KJ15" s="880"/>
      <c r="KK15" s="880"/>
      <c r="KL15" s="880"/>
      <c r="KM15" s="880"/>
      <c r="KN15" s="880"/>
      <c r="KO15" s="880"/>
      <c r="KP15" s="880"/>
      <c r="KQ15" s="880"/>
      <c r="KR15" s="880"/>
      <c r="KS15" s="880"/>
      <c r="KT15" s="880"/>
      <c r="KU15" s="880"/>
      <c r="KV15" s="880"/>
      <c r="KW15" s="880"/>
      <c r="KX15" s="880"/>
      <c r="KY15" s="880"/>
      <c r="KZ15" s="880"/>
      <c r="LA15" s="880"/>
      <c r="LB15" s="880"/>
      <c r="LC15" s="880"/>
      <c r="LD15" s="880"/>
      <c r="LE15" s="880"/>
      <c r="LF15" s="880"/>
      <c r="LG15" s="880"/>
      <c r="LH15" s="880"/>
      <c r="LI15" s="880"/>
      <c r="LJ15" s="880"/>
      <c r="LK15" s="880"/>
      <c r="LL15" s="880"/>
      <c r="LM15" s="880"/>
      <c r="LN15" s="880"/>
      <c r="LO15" s="880"/>
      <c r="LP15" s="880"/>
      <c r="LQ15" s="880"/>
      <c r="LR15" s="880"/>
      <c r="LS15" s="880"/>
      <c r="LT15" s="880"/>
      <c r="LU15" s="880"/>
      <c r="LV15" s="880"/>
      <c r="LW15" s="880"/>
      <c r="LX15" s="880"/>
      <c r="LY15" s="880"/>
      <c r="LZ15" s="880"/>
      <c r="MA15" s="880"/>
      <c r="MB15" s="880"/>
      <c r="MC15" s="880"/>
      <c r="MD15" s="880"/>
      <c r="ME15" s="880"/>
      <c r="MF15" s="880"/>
      <c r="MG15" s="880"/>
      <c r="MH15" s="880"/>
      <c r="MI15" s="880"/>
      <c r="MJ15" s="880"/>
      <c r="MK15" s="880"/>
      <c r="ML15" s="880"/>
      <c r="MM15" s="880"/>
      <c r="MN15" s="880"/>
      <c r="MO15" s="880"/>
      <c r="MP15" s="880"/>
      <c r="MQ15" s="880"/>
      <c r="MR15" s="880"/>
      <c r="MS15" s="880"/>
      <c r="MT15" s="880"/>
      <c r="MU15" s="880"/>
      <c r="MV15" s="880"/>
      <c r="MW15" s="880"/>
      <c r="MX15" s="880"/>
      <c r="MY15" s="880"/>
      <c r="MZ15" s="880"/>
      <c r="NA15" s="880"/>
      <c r="NB15" s="880"/>
      <c r="NC15" s="880"/>
      <c r="ND15" s="880"/>
      <c r="NE15" s="880"/>
      <c r="NF15" s="880"/>
      <c r="NG15" s="880"/>
      <c r="NH15" s="880"/>
      <c r="NI15" s="880"/>
      <c r="NJ15" s="880"/>
      <c r="NK15" s="880"/>
      <c r="NL15" s="880"/>
      <c r="NM15" s="880"/>
      <c r="NN15" s="880"/>
      <c r="NO15" s="880"/>
      <c r="NP15" s="880"/>
      <c r="NQ15" s="880"/>
      <c r="NR15" s="880"/>
      <c r="NS15" s="880"/>
      <c r="NT15" s="880"/>
      <c r="NU15" s="880"/>
      <c r="NV15" s="880"/>
      <c r="NW15" s="880"/>
      <c r="NX15" s="880"/>
      <c r="NY15" s="880"/>
      <c r="NZ15" s="880"/>
      <c r="OA15" s="880"/>
      <c r="OB15" s="880"/>
      <c r="OC15" s="880"/>
      <c r="OD15" s="880"/>
      <c r="OE15" s="880"/>
      <c r="OF15" s="880"/>
      <c r="OG15" s="880"/>
      <c r="OH15" s="880"/>
      <c r="OI15" s="880"/>
      <c r="OJ15" s="880"/>
      <c r="OK15" s="880"/>
      <c r="OL15" s="880"/>
      <c r="OM15" s="880"/>
      <c r="ON15" s="880"/>
      <c r="OO15" s="880"/>
      <c r="OP15" s="880"/>
      <c r="OQ15" s="880"/>
      <c r="OR15" s="880"/>
      <c r="OS15" s="880"/>
      <c r="OT15" s="880"/>
      <c r="OU15" s="880"/>
      <c r="OV15" s="880"/>
      <c r="OW15" s="880"/>
      <c r="OX15" s="880"/>
      <c r="OY15" s="880"/>
      <c r="OZ15" s="880"/>
      <c r="PA15" s="880"/>
      <c r="PB15" s="880"/>
      <c r="PC15" s="880"/>
      <c r="PD15" s="880"/>
      <c r="PE15" s="880"/>
      <c r="PF15" s="880"/>
      <c r="PG15" s="880"/>
      <c r="PH15" s="880"/>
      <c r="PI15" s="880"/>
      <c r="PJ15" s="880"/>
      <c r="PK15" s="880"/>
      <c r="PL15" s="880"/>
      <c r="PM15" s="880"/>
      <c r="PN15" s="880"/>
      <c r="PO15" s="880"/>
      <c r="PP15" s="880"/>
      <c r="PQ15" s="880"/>
      <c r="PR15" s="880"/>
      <c r="PS15" s="880"/>
      <c r="PT15" s="880"/>
      <c r="PU15" s="880"/>
      <c r="PV15" s="880"/>
      <c r="PW15" s="880"/>
      <c r="PX15" s="880"/>
      <c r="PY15" s="880"/>
      <c r="PZ15" s="880"/>
      <c r="QA15" s="880"/>
      <c r="QB15" s="880"/>
      <c r="QC15" s="880"/>
      <c r="QD15" s="880"/>
      <c r="QE15" s="880"/>
      <c r="QF15" s="880"/>
      <c r="QG15" s="880"/>
      <c r="QH15" s="880"/>
      <c r="QI15" s="880"/>
      <c r="QJ15" s="880"/>
      <c r="QK15" s="880"/>
      <c r="QL15" s="880"/>
      <c r="QM15" s="880"/>
      <c r="QN15" s="880"/>
      <c r="QO15" s="880"/>
      <c r="QP15" s="880"/>
      <c r="QQ15" s="880"/>
      <c r="QR15" s="880"/>
      <c r="QS15" s="880"/>
      <c r="QT15" s="880"/>
      <c r="QU15" s="880"/>
      <c r="QV15" s="880"/>
      <c r="QW15" s="880"/>
      <c r="QX15" s="880"/>
      <c r="QY15" s="880"/>
      <c r="QZ15" s="880"/>
      <c r="RA15" s="880"/>
      <c r="RB15" s="880"/>
      <c r="RC15" s="880"/>
      <c r="RD15" s="880"/>
      <c r="RE15" s="880"/>
      <c r="RF15" s="880"/>
      <c r="RG15" s="880"/>
      <c r="RH15" s="880"/>
      <c r="RI15" s="880"/>
      <c r="RJ15" s="880"/>
      <c r="RK15" s="880"/>
      <c r="RL15" s="880"/>
      <c r="RM15" s="880"/>
      <c r="RN15" s="880"/>
      <c r="RO15" s="880"/>
      <c r="RP15" s="880"/>
      <c r="RQ15" s="880"/>
      <c r="RR15" s="880"/>
      <c r="RS15" s="880"/>
      <c r="RT15" s="880"/>
      <c r="RU15" s="880"/>
      <c r="RV15" s="880"/>
      <c r="RW15" s="880"/>
      <c r="RX15" s="880"/>
      <c r="RY15" s="880"/>
      <c r="RZ15" s="880"/>
      <c r="SA15" s="880"/>
      <c r="SB15" s="880"/>
      <c r="SC15" s="880"/>
      <c r="SD15" s="880"/>
      <c r="SE15" s="880"/>
      <c r="SF15" s="880"/>
      <c r="SG15" s="880"/>
      <c r="SH15" s="880"/>
      <c r="SI15" s="880"/>
      <c r="SJ15" s="880"/>
      <c r="SK15" s="880"/>
      <c r="SL15" s="880"/>
      <c r="SM15" s="880"/>
      <c r="SN15" s="880"/>
      <c r="SO15" s="880"/>
      <c r="SP15" s="880"/>
      <c r="SQ15" s="880"/>
      <c r="SR15" s="880"/>
      <c r="SS15" s="880"/>
      <c r="ST15" s="880"/>
      <c r="SU15" s="880"/>
      <c r="SV15" s="880"/>
      <c r="SW15" s="880"/>
      <c r="SX15" s="880"/>
      <c r="SY15" s="880"/>
      <c r="SZ15" s="880"/>
      <c r="TA15" s="880"/>
      <c r="TB15" s="880"/>
      <c r="TC15" s="880"/>
      <c r="TD15" s="880"/>
      <c r="TE15" s="880"/>
      <c r="TF15" s="880"/>
      <c r="TG15" s="880"/>
      <c r="TH15" s="880"/>
      <c r="TI15" s="880"/>
      <c r="TJ15" s="880"/>
      <c r="TK15" s="880"/>
      <c r="TL15" s="880"/>
      <c r="TM15" s="880"/>
      <c r="TN15" s="880"/>
      <c r="TO15" s="880"/>
      <c r="TP15" s="880"/>
      <c r="TQ15" s="880"/>
      <c r="TR15" s="880"/>
      <c r="TS15" s="880"/>
      <c r="TT15" s="880"/>
      <c r="TU15" s="880"/>
      <c r="TV15" s="880"/>
      <c r="TW15" s="880"/>
      <c r="TX15" s="880"/>
      <c r="TY15" s="880"/>
      <c r="TZ15" s="880"/>
      <c r="UA15" s="880"/>
      <c r="UB15" s="880"/>
      <c r="UC15" s="880"/>
      <c r="UD15" s="880"/>
      <c r="UE15" s="880"/>
      <c r="UF15" s="880"/>
      <c r="UG15" s="880"/>
      <c r="UH15" s="880"/>
      <c r="UI15" s="880"/>
      <c r="UJ15" s="880"/>
      <c r="UK15" s="880"/>
      <c r="UL15" s="880"/>
      <c r="UM15" s="880"/>
      <c r="UN15" s="880"/>
      <c r="UO15" s="880"/>
      <c r="UP15" s="880"/>
      <c r="UQ15" s="880"/>
      <c r="UR15" s="880"/>
      <c r="US15" s="880"/>
      <c r="UT15" s="880"/>
      <c r="UU15" s="880"/>
      <c r="UV15" s="880"/>
      <c r="UW15" s="880"/>
      <c r="UX15" s="880"/>
      <c r="UY15" s="880"/>
      <c r="UZ15" s="880"/>
      <c r="VA15" s="880"/>
      <c r="VB15" s="880"/>
      <c r="VC15" s="880"/>
      <c r="VD15" s="880"/>
      <c r="VE15" s="880"/>
      <c r="VF15" s="880"/>
      <c r="VG15" s="880"/>
      <c r="VH15" s="880"/>
      <c r="VI15" s="880"/>
      <c r="VJ15" s="880"/>
      <c r="VK15" s="880"/>
      <c r="VL15" s="880"/>
      <c r="VM15" s="880"/>
      <c r="VN15" s="880"/>
      <c r="VO15" s="880"/>
      <c r="VP15" s="880"/>
      <c r="VQ15" s="880"/>
      <c r="VR15" s="880"/>
      <c r="VS15" s="880"/>
      <c r="VT15" s="880"/>
      <c r="VU15" s="880"/>
      <c r="VV15" s="880"/>
      <c r="VW15" s="880"/>
      <c r="VX15" s="880"/>
      <c r="VY15" s="880"/>
      <c r="VZ15" s="880"/>
      <c r="WA15" s="880"/>
      <c r="WB15" s="880"/>
      <c r="WC15" s="880"/>
      <c r="WD15" s="880"/>
      <c r="WE15" s="880"/>
      <c r="WF15" s="880"/>
      <c r="WG15" s="880"/>
      <c r="WH15" s="880"/>
      <c r="WI15" s="880"/>
      <c r="WJ15" s="880"/>
      <c r="WK15" s="880"/>
      <c r="WL15" s="880"/>
      <c r="WM15" s="880"/>
      <c r="WN15" s="880"/>
      <c r="WO15" s="880"/>
      <c r="WP15" s="880"/>
      <c r="WQ15" s="880"/>
      <c r="WR15" s="880"/>
      <c r="WS15" s="880"/>
      <c r="WT15" s="880"/>
      <c r="WU15" s="880"/>
      <c r="WV15" s="880"/>
      <c r="WW15" s="880"/>
      <c r="WX15" s="880"/>
      <c r="WY15" s="880"/>
      <c r="WZ15" s="880"/>
      <c r="XA15" s="880"/>
      <c r="XB15" s="880"/>
      <c r="XC15" s="880"/>
      <c r="XD15" s="880"/>
      <c r="XE15" s="880"/>
      <c r="XF15" s="880"/>
      <c r="XG15" s="880"/>
      <c r="XH15" s="880"/>
      <c r="XI15" s="880"/>
      <c r="XJ15" s="880"/>
      <c r="XK15" s="880"/>
      <c r="XL15" s="880"/>
      <c r="XM15" s="880"/>
      <c r="XN15" s="880"/>
      <c r="XO15" s="880"/>
      <c r="XP15" s="880"/>
      <c r="XQ15" s="880"/>
      <c r="XR15" s="880"/>
      <c r="XS15" s="880"/>
      <c r="XT15" s="880"/>
      <c r="XU15" s="880"/>
      <c r="XV15" s="880"/>
      <c r="XW15" s="880"/>
      <c r="XX15" s="880"/>
      <c r="XY15" s="880"/>
      <c r="XZ15" s="880"/>
      <c r="YA15" s="880"/>
      <c r="YB15" s="880"/>
      <c r="YC15" s="880"/>
      <c r="YD15" s="880"/>
      <c r="YE15" s="880"/>
      <c r="YF15" s="880"/>
      <c r="YG15" s="880"/>
      <c r="YH15" s="880"/>
      <c r="YI15" s="880"/>
      <c r="YJ15" s="880"/>
      <c r="YK15" s="880"/>
      <c r="YL15" s="880"/>
      <c r="YM15" s="880"/>
      <c r="YN15" s="880"/>
      <c r="YO15" s="880"/>
      <c r="YP15" s="880"/>
      <c r="YQ15" s="880"/>
      <c r="YR15" s="880"/>
      <c r="YS15" s="880"/>
      <c r="YT15" s="880"/>
      <c r="YU15" s="880"/>
      <c r="YV15" s="880"/>
      <c r="YW15" s="880"/>
      <c r="YX15" s="880"/>
      <c r="YY15" s="880"/>
      <c r="YZ15" s="880"/>
      <c r="ZA15" s="880"/>
      <c r="ZB15" s="880"/>
      <c r="ZC15" s="880"/>
      <c r="ZD15" s="880"/>
      <c r="ZE15" s="880"/>
      <c r="ZF15" s="880"/>
      <c r="ZG15" s="880"/>
      <c r="ZH15" s="880"/>
      <c r="ZI15" s="880"/>
      <c r="ZJ15" s="880"/>
      <c r="ZK15" s="880"/>
      <c r="ZL15" s="880"/>
      <c r="ZM15" s="880"/>
      <c r="ZN15" s="880"/>
      <c r="ZO15" s="880"/>
      <c r="ZP15" s="880"/>
      <c r="ZQ15" s="880"/>
      <c r="ZR15" s="880"/>
      <c r="ZS15" s="880"/>
      <c r="ZT15" s="880"/>
      <c r="ZU15" s="880"/>
      <c r="ZV15" s="880"/>
      <c r="ZW15" s="880"/>
      <c r="ZX15" s="880"/>
      <c r="ZY15" s="880"/>
      <c r="ZZ15" s="880"/>
      <c r="AAA15" s="880"/>
      <c r="AAB15" s="880"/>
      <c r="AAC15" s="880"/>
      <c r="AAD15" s="880"/>
      <c r="AAE15" s="880"/>
      <c r="AAF15" s="880"/>
      <c r="AAG15" s="880"/>
      <c r="AAH15" s="880"/>
      <c r="AAI15" s="880"/>
      <c r="AAJ15" s="880"/>
      <c r="AAK15" s="880"/>
      <c r="AAL15" s="880"/>
      <c r="AAM15" s="880"/>
      <c r="AAN15" s="880"/>
      <c r="AAO15" s="880"/>
      <c r="AAP15" s="880"/>
      <c r="AAQ15" s="880"/>
      <c r="AAR15" s="880"/>
      <c r="AAS15" s="880"/>
      <c r="AAT15" s="880"/>
      <c r="AAU15" s="880"/>
      <c r="AAV15" s="880"/>
      <c r="AAW15" s="880"/>
      <c r="AAX15" s="880"/>
      <c r="AAY15" s="880"/>
      <c r="AAZ15" s="880"/>
      <c r="ABA15" s="880"/>
      <c r="ABB15" s="880"/>
      <c r="ABC15" s="880"/>
      <c r="ABD15" s="880"/>
      <c r="ABE15" s="880"/>
      <c r="ABF15" s="880"/>
      <c r="ABG15" s="880"/>
      <c r="ABH15" s="880"/>
      <c r="ABI15" s="880"/>
      <c r="ABJ15" s="880"/>
      <c r="ABK15" s="880"/>
      <c r="ABL15" s="880"/>
      <c r="ABM15" s="880"/>
      <c r="ABN15" s="880"/>
      <c r="ABO15" s="880"/>
      <c r="ABP15" s="880"/>
      <c r="ABQ15" s="880"/>
      <c r="ABR15" s="880"/>
      <c r="ABS15" s="880"/>
      <c r="ABT15" s="880"/>
      <c r="ABU15" s="880"/>
      <c r="ABV15" s="880"/>
      <c r="ABW15" s="880"/>
      <c r="ABX15" s="880"/>
      <c r="ABY15" s="880"/>
      <c r="ABZ15" s="880"/>
      <c r="ACA15" s="880"/>
      <c r="ACB15" s="880"/>
      <c r="ACC15" s="880"/>
      <c r="ACD15" s="880"/>
      <c r="ACE15" s="880"/>
      <c r="ACF15" s="880"/>
      <c r="ACG15" s="880"/>
      <c r="ACH15" s="880"/>
      <c r="ACI15" s="880"/>
      <c r="ACJ15" s="880"/>
      <c r="ACK15" s="880"/>
      <c r="ACL15" s="880"/>
      <c r="ACM15" s="880"/>
      <c r="ACN15" s="880"/>
      <c r="ACO15" s="880"/>
      <c r="ACP15" s="880"/>
      <c r="ACQ15" s="880"/>
      <c r="ACR15" s="880"/>
      <c r="ACS15" s="880"/>
      <c r="ACT15" s="880"/>
      <c r="ACU15" s="880"/>
      <c r="ACV15" s="880"/>
      <c r="ACW15" s="880"/>
      <c r="ACX15" s="880"/>
      <c r="ACY15" s="880"/>
      <c r="ACZ15" s="880"/>
      <c r="ADA15" s="880"/>
      <c r="ADB15" s="880"/>
      <c r="ADC15" s="880"/>
      <c r="ADD15" s="880"/>
      <c r="ADE15" s="880"/>
      <c r="ADF15" s="880"/>
      <c r="ADG15" s="880"/>
      <c r="ADH15" s="880"/>
      <c r="ADI15" s="880"/>
      <c r="ADJ15" s="880"/>
      <c r="ADK15" s="880"/>
      <c r="ADL15" s="880"/>
      <c r="ADM15" s="880"/>
      <c r="ADN15" s="880"/>
      <c r="ADO15" s="880"/>
      <c r="ADP15" s="880"/>
      <c r="ADQ15" s="880"/>
      <c r="ADR15" s="880"/>
      <c r="ADS15" s="880"/>
      <c r="ADT15" s="880"/>
      <c r="ADU15" s="880"/>
      <c r="ADV15" s="880"/>
      <c r="ADW15" s="880"/>
      <c r="ADX15" s="880"/>
      <c r="ADY15" s="880"/>
      <c r="ADZ15" s="880"/>
      <c r="AEA15" s="880"/>
      <c r="AEB15" s="880"/>
      <c r="AEC15" s="880"/>
      <c r="AED15" s="880"/>
      <c r="AEE15" s="880"/>
      <c r="AEF15" s="880"/>
      <c r="AEG15" s="880"/>
      <c r="AEH15" s="880"/>
      <c r="AEI15" s="880"/>
      <c r="AEJ15" s="880"/>
      <c r="AEK15" s="880"/>
      <c r="AEL15" s="880"/>
      <c r="AEM15" s="880"/>
      <c r="AEN15" s="880"/>
      <c r="AEO15" s="880"/>
      <c r="AEP15" s="880"/>
      <c r="AEQ15" s="880"/>
      <c r="AER15" s="880"/>
      <c r="AES15" s="880"/>
      <c r="AET15" s="880"/>
      <c r="AEU15" s="880"/>
      <c r="AEV15" s="880"/>
      <c r="AEW15" s="880"/>
      <c r="AEX15" s="880"/>
      <c r="AEY15" s="880"/>
      <c r="AEZ15" s="880"/>
      <c r="AFA15" s="880"/>
      <c r="AFB15" s="880"/>
      <c r="AFC15" s="880"/>
      <c r="AFD15" s="880"/>
      <c r="AFE15" s="880"/>
      <c r="AFF15" s="880"/>
      <c r="AFG15" s="880"/>
      <c r="AFH15" s="880"/>
      <c r="AFI15" s="880"/>
      <c r="AFJ15" s="880"/>
      <c r="AFK15" s="880"/>
      <c r="AFL15" s="880"/>
      <c r="AFM15" s="880"/>
      <c r="AFN15" s="880"/>
      <c r="AFO15" s="880"/>
      <c r="AFP15" s="880"/>
      <c r="AFQ15" s="880"/>
      <c r="AFR15" s="880"/>
      <c r="AFS15" s="880"/>
      <c r="AFT15" s="880"/>
      <c r="AFU15" s="880"/>
      <c r="AFV15" s="880"/>
      <c r="AFW15" s="880"/>
      <c r="AFX15" s="880"/>
      <c r="AFY15" s="880"/>
      <c r="AFZ15" s="880"/>
      <c r="AGA15" s="880"/>
      <c r="AGB15" s="880"/>
      <c r="AGC15" s="880"/>
      <c r="AGD15" s="880"/>
      <c r="AGE15" s="880"/>
      <c r="AGF15" s="880"/>
      <c r="AGG15" s="880"/>
      <c r="AGH15" s="880"/>
      <c r="AGI15" s="880"/>
      <c r="AGJ15" s="880"/>
      <c r="AGK15" s="880"/>
      <c r="AGL15" s="880"/>
      <c r="AGM15" s="880"/>
      <c r="AGN15" s="880"/>
      <c r="AGO15" s="880"/>
      <c r="AGP15" s="880"/>
      <c r="AGQ15" s="880"/>
      <c r="AGR15" s="880"/>
      <c r="AGS15" s="880"/>
      <c r="AGT15" s="880"/>
      <c r="AGU15" s="880"/>
      <c r="AGV15" s="880"/>
      <c r="AGW15" s="880"/>
      <c r="AGX15" s="880"/>
      <c r="AGY15" s="880"/>
      <c r="AGZ15" s="880"/>
      <c r="AHA15" s="880"/>
      <c r="AHB15" s="880"/>
      <c r="AHC15" s="880"/>
      <c r="AHD15" s="880"/>
      <c r="AHE15" s="880"/>
      <c r="AHF15" s="880"/>
      <c r="AHG15" s="880"/>
      <c r="AHH15" s="880"/>
      <c r="AHI15" s="880"/>
      <c r="AHJ15" s="880"/>
      <c r="AHK15" s="880"/>
      <c r="AHL15" s="880"/>
      <c r="AHM15" s="880"/>
      <c r="AHN15" s="880"/>
      <c r="AHO15" s="880"/>
      <c r="AHP15" s="880"/>
      <c r="AHQ15" s="880"/>
      <c r="AHR15" s="880"/>
      <c r="AHS15" s="880"/>
      <c r="AHT15" s="880"/>
      <c r="AHU15" s="880"/>
      <c r="AHV15" s="880"/>
      <c r="AHW15" s="880"/>
      <c r="AHX15" s="880"/>
      <c r="AHY15" s="880"/>
      <c r="AHZ15" s="880"/>
      <c r="AIA15" s="880"/>
      <c r="AIB15" s="880"/>
      <c r="AIC15" s="880"/>
      <c r="AID15" s="880"/>
      <c r="AIE15" s="880"/>
      <c r="AIF15" s="880"/>
      <c r="AIG15" s="880"/>
      <c r="AIH15" s="880"/>
      <c r="AII15" s="880"/>
      <c r="AIJ15" s="880"/>
      <c r="AIK15" s="880"/>
      <c r="AIL15" s="880"/>
      <c r="AIM15" s="880"/>
      <c r="AIN15" s="880"/>
      <c r="AIO15" s="880"/>
      <c r="AIP15" s="880"/>
      <c r="AIQ15" s="880"/>
      <c r="AIR15" s="880"/>
      <c r="AIS15" s="880"/>
      <c r="AIT15" s="880"/>
      <c r="AIU15" s="880"/>
      <c r="AIV15" s="880"/>
      <c r="AIW15" s="880"/>
      <c r="AIX15" s="880"/>
      <c r="AIY15" s="880"/>
      <c r="AIZ15" s="880"/>
      <c r="AJA15" s="880"/>
      <c r="AJB15" s="880"/>
      <c r="AJC15" s="880"/>
      <c r="AJD15" s="880"/>
      <c r="AJE15" s="880"/>
      <c r="AJF15" s="880"/>
      <c r="AJG15" s="880"/>
      <c r="AJH15" s="880"/>
      <c r="AJI15" s="880"/>
      <c r="AJJ15" s="880"/>
      <c r="AJK15" s="880"/>
      <c r="AJL15" s="880"/>
      <c r="AJM15" s="880"/>
      <c r="AJN15" s="880"/>
      <c r="AJO15" s="880"/>
      <c r="AJP15" s="880"/>
      <c r="AJQ15" s="880"/>
      <c r="AJR15" s="880"/>
      <c r="AJS15" s="880"/>
      <c r="AJT15" s="880"/>
      <c r="AJU15" s="880"/>
      <c r="AJV15" s="880"/>
      <c r="AJW15" s="880"/>
      <c r="AJX15" s="880"/>
      <c r="AJY15" s="880"/>
      <c r="AJZ15" s="880"/>
      <c r="AKA15" s="880"/>
      <c r="AKB15" s="880"/>
      <c r="AKC15" s="880"/>
      <c r="AKD15" s="880"/>
      <c r="AKE15" s="880"/>
      <c r="AKF15" s="880"/>
      <c r="AKG15" s="880"/>
      <c r="AKH15" s="880"/>
      <c r="AKI15" s="880"/>
      <c r="AKJ15" s="880"/>
      <c r="AKK15" s="880"/>
      <c r="AKL15" s="880"/>
      <c r="AKM15" s="880"/>
      <c r="AKN15" s="880"/>
      <c r="AKO15" s="880"/>
      <c r="AKP15" s="880"/>
      <c r="AKQ15" s="880"/>
      <c r="AKR15" s="880"/>
      <c r="AKS15" s="880"/>
      <c r="AKT15" s="880"/>
      <c r="AKU15" s="880"/>
      <c r="AKV15" s="880"/>
      <c r="AKW15" s="880"/>
    </row>
    <row r="16" spans="1:985" ht="32.25" customHeight="1" thickBot="1" x14ac:dyDescent="0.35">
      <c r="A16" s="1116" t="s">
        <v>74</v>
      </c>
      <c r="B16" s="1117"/>
      <c r="C16" s="1123">
        <f>C15/40</f>
        <v>0</v>
      </c>
      <c r="D16" s="1124"/>
      <c r="E16" s="758"/>
      <c r="F16" s="964" t="s">
        <v>75</v>
      </c>
      <c r="G16" s="461">
        <v>187</v>
      </c>
      <c r="H16" s="459" t="s">
        <v>73</v>
      </c>
      <c r="I16" s="457" t="e">
        <f>IF(($I$10*10^(($I$9-$G$16)/$C$28))&gt;$I$28,$I$28,$I$10*10^(($I$9-$G$16)/$C$28))</f>
        <v>#N/A</v>
      </c>
      <c r="J16" s="455" t="e">
        <f>I16*3.28</f>
        <v>#N/A</v>
      </c>
      <c r="K16" s="448"/>
      <c r="L16" s="1070" t="e">
        <f>(($I16^2)*PI())/1000000</f>
        <v>#N/A</v>
      </c>
      <c r="M16" s="1071"/>
      <c r="N16" s="885"/>
      <c r="O16" s="1162"/>
      <c r="P16" s="1163"/>
      <c r="Q16" s="1163"/>
      <c r="R16" s="880"/>
      <c r="S16" s="880"/>
      <c r="T16" s="880"/>
      <c r="U16" s="880"/>
      <c r="V16" s="880"/>
      <c r="W16" s="880"/>
      <c r="X16" s="880"/>
      <c r="Y16" s="880"/>
      <c r="Z16" s="880"/>
      <c r="AA16" s="880"/>
      <c r="AB16" s="880"/>
      <c r="AC16" s="880"/>
      <c r="AD16" s="880"/>
      <c r="AE16" s="880"/>
      <c r="AF16" s="880"/>
      <c r="AG16" s="880"/>
      <c r="AH16" s="880"/>
      <c r="AI16" s="880"/>
      <c r="AJ16" s="880"/>
      <c r="AK16" s="880"/>
      <c r="AL16" s="880"/>
      <c r="AM16" s="880"/>
      <c r="AN16" s="880"/>
      <c r="AO16" s="880"/>
      <c r="AP16" s="880"/>
      <c r="AQ16" s="880"/>
      <c r="AR16" s="880"/>
      <c r="AS16" s="880"/>
      <c r="AT16" s="880"/>
      <c r="AU16" s="880"/>
      <c r="AV16" s="880"/>
      <c r="AW16" s="880"/>
      <c r="AX16" s="880"/>
      <c r="AY16" s="880"/>
      <c r="AZ16" s="880"/>
      <c r="BA16" s="880"/>
      <c r="BB16" s="880"/>
      <c r="BC16" s="880"/>
      <c r="BD16" s="880"/>
      <c r="BE16" s="880"/>
      <c r="BF16" s="880"/>
      <c r="BG16" s="880"/>
      <c r="BH16" s="880"/>
      <c r="BI16" s="880"/>
      <c r="BJ16" s="880"/>
      <c r="BK16" s="880"/>
      <c r="BL16" s="880"/>
      <c r="BM16" s="880"/>
      <c r="BN16" s="880"/>
      <c r="BO16" s="880"/>
      <c r="BP16" s="880"/>
      <c r="BQ16" s="880"/>
      <c r="BR16" s="880"/>
      <c r="BS16" s="880"/>
      <c r="BT16" s="880"/>
      <c r="BU16" s="880"/>
      <c r="BV16" s="880"/>
      <c r="BW16" s="880"/>
      <c r="BX16" s="880"/>
      <c r="BY16" s="880"/>
      <c r="BZ16" s="880"/>
      <c r="CA16" s="880"/>
      <c r="CB16" s="880"/>
      <c r="CC16" s="880"/>
      <c r="CD16" s="880"/>
      <c r="CE16" s="880"/>
      <c r="CF16" s="880"/>
      <c r="CG16" s="880"/>
      <c r="CH16" s="880"/>
      <c r="CI16" s="880"/>
      <c r="CJ16" s="880"/>
      <c r="CK16" s="880"/>
      <c r="CL16" s="880"/>
      <c r="CM16" s="880"/>
      <c r="CN16" s="880"/>
      <c r="CO16" s="880"/>
      <c r="CP16" s="880"/>
      <c r="CQ16" s="880"/>
      <c r="CR16" s="880"/>
      <c r="CS16" s="880"/>
      <c r="CT16" s="880"/>
      <c r="CU16" s="880"/>
      <c r="CV16" s="880"/>
      <c r="CW16" s="880"/>
      <c r="CX16" s="880"/>
      <c r="CY16" s="880"/>
      <c r="CZ16" s="880"/>
      <c r="DA16" s="880"/>
      <c r="DB16" s="880"/>
      <c r="DC16" s="880"/>
      <c r="DD16" s="880"/>
      <c r="DE16" s="880"/>
      <c r="DF16" s="880"/>
      <c r="DG16" s="880"/>
      <c r="DH16" s="880"/>
      <c r="DI16" s="880"/>
      <c r="DJ16" s="880"/>
      <c r="DK16" s="880"/>
      <c r="DL16" s="880"/>
      <c r="DM16" s="880"/>
      <c r="DN16" s="880"/>
      <c r="DO16" s="880"/>
      <c r="DP16" s="880"/>
      <c r="DQ16" s="880"/>
      <c r="DR16" s="880"/>
      <c r="DS16" s="880"/>
      <c r="DT16" s="880"/>
      <c r="DU16" s="880"/>
      <c r="DV16" s="880"/>
      <c r="DW16" s="880"/>
      <c r="DX16" s="880"/>
      <c r="DY16" s="880"/>
      <c r="DZ16" s="880"/>
      <c r="EA16" s="880"/>
      <c r="EB16" s="880"/>
      <c r="EC16" s="880"/>
      <c r="ED16" s="880"/>
      <c r="EE16" s="880"/>
      <c r="EF16" s="880"/>
      <c r="EG16" s="880"/>
      <c r="EH16" s="880"/>
      <c r="EI16" s="880"/>
      <c r="EJ16" s="880"/>
      <c r="EK16" s="880"/>
      <c r="EL16" s="880"/>
      <c r="EM16" s="880"/>
      <c r="EN16" s="880"/>
      <c r="EO16" s="880"/>
      <c r="EP16" s="880"/>
      <c r="EQ16" s="880"/>
      <c r="ER16" s="880"/>
      <c r="ES16" s="880"/>
      <c r="ET16" s="880"/>
      <c r="EU16" s="880"/>
      <c r="EV16" s="880"/>
      <c r="EW16" s="880"/>
      <c r="EX16" s="880"/>
      <c r="EY16" s="880"/>
      <c r="EZ16" s="880"/>
      <c r="FA16" s="880"/>
      <c r="FB16" s="880"/>
      <c r="FC16" s="880"/>
      <c r="FD16" s="880"/>
      <c r="FE16" s="880"/>
      <c r="FF16" s="880"/>
      <c r="FG16" s="880"/>
      <c r="FH16" s="880"/>
      <c r="FI16" s="880"/>
      <c r="FJ16" s="880"/>
      <c r="FK16" s="880"/>
      <c r="FL16" s="880"/>
      <c r="FM16" s="880"/>
      <c r="FN16" s="880"/>
      <c r="FO16" s="880"/>
      <c r="FP16" s="880"/>
      <c r="FQ16" s="880"/>
      <c r="FR16" s="880"/>
      <c r="FS16" s="880"/>
      <c r="FT16" s="880"/>
      <c r="FU16" s="880"/>
      <c r="FV16" s="880"/>
      <c r="FW16" s="880"/>
      <c r="FX16" s="880"/>
      <c r="FY16" s="880"/>
      <c r="FZ16" s="880"/>
      <c r="GA16" s="880"/>
      <c r="GB16" s="880"/>
      <c r="GC16" s="880"/>
      <c r="GD16" s="880"/>
      <c r="GE16" s="880"/>
      <c r="GF16" s="880"/>
      <c r="GG16" s="880"/>
      <c r="GH16" s="880"/>
      <c r="GI16" s="880"/>
      <c r="GJ16" s="880"/>
      <c r="GK16" s="880"/>
      <c r="GL16" s="880"/>
      <c r="GM16" s="880"/>
      <c r="GN16" s="880"/>
      <c r="GO16" s="880"/>
      <c r="GP16" s="880"/>
      <c r="GQ16" s="880"/>
      <c r="GR16" s="880"/>
      <c r="GS16" s="880"/>
      <c r="GT16" s="880"/>
      <c r="GU16" s="880"/>
      <c r="GV16" s="880"/>
      <c r="GW16" s="880"/>
      <c r="GX16" s="880"/>
      <c r="GY16" s="880"/>
      <c r="GZ16" s="880"/>
      <c r="HA16" s="880"/>
      <c r="HB16" s="880"/>
      <c r="HC16" s="880"/>
      <c r="HD16" s="880"/>
      <c r="HE16" s="880"/>
      <c r="HF16" s="880"/>
      <c r="HG16" s="880"/>
      <c r="HH16" s="880"/>
      <c r="HI16" s="880"/>
      <c r="HJ16" s="880"/>
      <c r="HK16" s="880"/>
      <c r="HL16" s="880"/>
      <c r="HM16" s="880"/>
      <c r="HN16" s="880"/>
      <c r="HO16" s="880"/>
      <c r="HP16" s="880"/>
      <c r="HQ16" s="880"/>
      <c r="HR16" s="880"/>
      <c r="HS16" s="880"/>
      <c r="HT16" s="880"/>
      <c r="HU16" s="880"/>
      <c r="HV16" s="880"/>
      <c r="HW16" s="880"/>
      <c r="HX16" s="880"/>
      <c r="HY16" s="880"/>
      <c r="HZ16" s="880"/>
      <c r="IA16" s="880"/>
      <c r="IB16" s="880"/>
      <c r="IC16" s="880"/>
      <c r="ID16" s="880"/>
      <c r="IE16" s="880"/>
      <c r="IF16" s="880"/>
      <c r="IG16" s="880"/>
      <c r="IH16" s="880"/>
      <c r="II16" s="880"/>
      <c r="IJ16" s="880"/>
      <c r="IK16" s="880"/>
      <c r="IL16" s="880"/>
      <c r="IM16" s="880"/>
      <c r="IN16" s="880"/>
      <c r="IO16" s="880"/>
      <c r="IP16" s="880"/>
      <c r="IQ16" s="880"/>
      <c r="IR16" s="880"/>
      <c r="IS16" s="880"/>
      <c r="IT16" s="880"/>
      <c r="IU16" s="880"/>
      <c r="IV16" s="880"/>
      <c r="IW16" s="880"/>
      <c r="IX16" s="880"/>
      <c r="IY16" s="880"/>
      <c r="IZ16" s="880"/>
      <c r="JA16" s="880"/>
      <c r="JB16" s="880"/>
      <c r="JC16" s="880"/>
      <c r="JD16" s="880"/>
      <c r="JE16" s="880"/>
      <c r="JF16" s="880"/>
      <c r="JG16" s="880"/>
      <c r="JH16" s="880"/>
      <c r="JI16" s="880"/>
      <c r="JJ16" s="880"/>
      <c r="JK16" s="880"/>
      <c r="JL16" s="880"/>
      <c r="JM16" s="880"/>
      <c r="JN16" s="880"/>
      <c r="JO16" s="880"/>
      <c r="JP16" s="880"/>
      <c r="JQ16" s="880"/>
      <c r="JR16" s="880"/>
      <c r="JS16" s="880"/>
      <c r="JT16" s="880"/>
      <c r="JU16" s="880"/>
      <c r="JV16" s="880"/>
      <c r="JW16" s="880"/>
      <c r="JX16" s="880"/>
      <c r="JY16" s="880"/>
      <c r="JZ16" s="880"/>
      <c r="KA16" s="880"/>
      <c r="KB16" s="880"/>
      <c r="KC16" s="880"/>
      <c r="KD16" s="880"/>
      <c r="KE16" s="880"/>
      <c r="KF16" s="880"/>
      <c r="KG16" s="880"/>
      <c r="KH16" s="880"/>
      <c r="KI16" s="880"/>
      <c r="KJ16" s="880"/>
      <c r="KK16" s="880"/>
      <c r="KL16" s="880"/>
      <c r="KM16" s="880"/>
      <c r="KN16" s="880"/>
      <c r="KO16" s="880"/>
      <c r="KP16" s="880"/>
      <c r="KQ16" s="880"/>
      <c r="KR16" s="880"/>
      <c r="KS16" s="880"/>
      <c r="KT16" s="880"/>
      <c r="KU16" s="880"/>
      <c r="KV16" s="880"/>
      <c r="KW16" s="880"/>
      <c r="KX16" s="880"/>
      <c r="KY16" s="880"/>
      <c r="KZ16" s="880"/>
      <c r="LA16" s="880"/>
      <c r="LB16" s="880"/>
      <c r="LC16" s="880"/>
      <c r="LD16" s="880"/>
      <c r="LE16" s="880"/>
      <c r="LF16" s="880"/>
      <c r="LG16" s="880"/>
      <c r="LH16" s="880"/>
      <c r="LI16" s="880"/>
      <c r="LJ16" s="880"/>
      <c r="LK16" s="880"/>
      <c r="LL16" s="880"/>
      <c r="LM16" s="880"/>
      <c r="LN16" s="880"/>
      <c r="LO16" s="880"/>
      <c r="LP16" s="880"/>
      <c r="LQ16" s="880"/>
      <c r="LR16" s="880"/>
      <c r="LS16" s="880"/>
      <c r="LT16" s="880"/>
      <c r="LU16" s="880"/>
      <c r="LV16" s="880"/>
      <c r="LW16" s="880"/>
      <c r="LX16" s="880"/>
      <c r="LY16" s="880"/>
      <c r="LZ16" s="880"/>
      <c r="MA16" s="880"/>
      <c r="MB16" s="880"/>
      <c r="MC16" s="880"/>
      <c r="MD16" s="880"/>
      <c r="ME16" s="880"/>
      <c r="MF16" s="880"/>
      <c r="MG16" s="880"/>
      <c r="MH16" s="880"/>
      <c r="MI16" s="880"/>
      <c r="MJ16" s="880"/>
      <c r="MK16" s="880"/>
      <c r="ML16" s="880"/>
      <c r="MM16" s="880"/>
      <c r="MN16" s="880"/>
      <c r="MO16" s="880"/>
      <c r="MP16" s="880"/>
      <c r="MQ16" s="880"/>
      <c r="MR16" s="880"/>
      <c r="MS16" s="880"/>
      <c r="MT16" s="880"/>
      <c r="MU16" s="880"/>
      <c r="MV16" s="880"/>
      <c r="MW16" s="880"/>
      <c r="MX16" s="880"/>
      <c r="MY16" s="880"/>
      <c r="MZ16" s="880"/>
      <c r="NA16" s="880"/>
      <c r="NB16" s="880"/>
      <c r="NC16" s="880"/>
      <c r="ND16" s="880"/>
      <c r="NE16" s="880"/>
      <c r="NF16" s="880"/>
      <c r="NG16" s="880"/>
      <c r="NH16" s="880"/>
      <c r="NI16" s="880"/>
      <c r="NJ16" s="880"/>
      <c r="NK16" s="880"/>
      <c r="NL16" s="880"/>
      <c r="NM16" s="880"/>
      <c r="NN16" s="880"/>
      <c r="NO16" s="880"/>
      <c r="NP16" s="880"/>
      <c r="NQ16" s="880"/>
      <c r="NR16" s="880"/>
      <c r="NS16" s="880"/>
      <c r="NT16" s="880"/>
      <c r="NU16" s="880"/>
      <c r="NV16" s="880"/>
      <c r="NW16" s="880"/>
      <c r="NX16" s="880"/>
      <c r="NY16" s="880"/>
      <c r="NZ16" s="880"/>
      <c r="OA16" s="880"/>
      <c r="OB16" s="880"/>
      <c r="OC16" s="880"/>
      <c r="OD16" s="880"/>
      <c r="OE16" s="880"/>
      <c r="OF16" s="880"/>
      <c r="OG16" s="880"/>
      <c r="OH16" s="880"/>
      <c r="OI16" s="880"/>
      <c r="OJ16" s="880"/>
      <c r="OK16" s="880"/>
      <c r="OL16" s="880"/>
      <c r="OM16" s="880"/>
      <c r="ON16" s="880"/>
      <c r="OO16" s="880"/>
      <c r="OP16" s="880"/>
      <c r="OQ16" s="880"/>
      <c r="OR16" s="880"/>
      <c r="OS16" s="880"/>
      <c r="OT16" s="880"/>
      <c r="OU16" s="880"/>
      <c r="OV16" s="880"/>
      <c r="OW16" s="880"/>
      <c r="OX16" s="880"/>
      <c r="OY16" s="880"/>
      <c r="OZ16" s="880"/>
      <c r="PA16" s="880"/>
      <c r="PB16" s="880"/>
      <c r="PC16" s="880"/>
      <c r="PD16" s="880"/>
      <c r="PE16" s="880"/>
      <c r="PF16" s="880"/>
      <c r="PG16" s="880"/>
      <c r="PH16" s="880"/>
      <c r="PI16" s="880"/>
      <c r="PJ16" s="880"/>
      <c r="PK16" s="880"/>
      <c r="PL16" s="880"/>
      <c r="PM16" s="880"/>
      <c r="PN16" s="880"/>
      <c r="PO16" s="880"/>
      <c r="PP16" s="880"/>
      <c r="PQ16" s="880"/>
      <c r="PR16" s="880"/>
      <c r="PS16" s="880"/>
      <c r="PT16" s="880"/>
      <c r="PU16" s="880"/>
      <c r="PV16" s="880"/>
      <c r="PW16" s="880"/>
      <c r="PX16" s="880"/>
      <c r="PY16" s="880"/>
      <c r="PZ16" s="880"/>
      <c r="QA16" s="880"/>
      <c r="QB16" s="880"/>
      <c r="QC16" s="880"/>
      <c r="QD16" s="880"/>
      <c r="QE16" s="880"/>
      <c r="QF16" s="880"/>
      <c r="QG16" s="880"/>
      <c r="QH16" s="880"/>
      <c r="QI16" s="880"/>
      <c r="QJ16" s="880"/>
      <c r="QK16" s="880"/>
      <c r="QL16" s="880"/>
      <c r="QM16" s="880"/>
      <c r="QN16" s="880"/>
      <c r="QO16" s="880"/>
      <c r="QP16" s="880"/>
      <c r="QQ16" s="880"/>
      <c r="QR16" s="880"/>
      <c r="QS16" s="880"/>
      <c r="QT16" s="880"/>
      <c r="QU16" s="880"/>
      <c r="QV16" s="880"/>
      <c r="QW16" s="880"/>
      <c r="QX16" s="880"/>
      <c r="QY16" s="880"/>
      <c r="QZ16" s="880"/>
      <c r="RA16" s="880"/>
      <c r="RB16" s="880"/>
      <c r="RC16" s="880"/>
      <c r="RD16" s="880"/>
      <c r="RE16" s="880"/>
      <c r="RF16" s="880"/>
      <c r="RG16" s="880"/>
      <c r="RH16" s="880"/>
      <c r="RI16" s="880"/>
      <c r="RJ16" s="880"/>
      <c r="RK16" s="880"/>
      <c r="RL16" s="880"/>
      <c r="RM16" s="880"/>
      <c r="RN16" s="880"/>
      <c r="RO16" s="880"/>
      <c r="RP16" s="880"/>
      <c r="RQ16" s="880"/>
      <c r="RR16" s="880"/>
      <c r="RS16" s="880"/>
      <c r="RT16" s="880"/>
      <c r="RU16" s="880"/>
      <c r="RV16" s="880"/>
      <c r="RW16" s="880"/>
      <c r="RX16" s="880"/>
      <c r="RY16" s="880"/>
      <c r="RZ16" s="880"/>
      <c r="SA16" s="880"/>
      <c r="SB16" s="880"/>
      <c r="SC16" s="880"/>
      <c r="SD16" s="880"/>
      <c r="SE16" s="880"/>
      <c r="SF16" s="880"/>
      <c r="SG16" s="880"/>
      <c r="SH16" s="880"/>
      <c r="SI16" s="880"/>
      <c r="SJ16" s="880"/>
      <c r="SK16" s="880"/>
      <c r="SL16" s="880"/>
      <c r="SM16" s="880"/>
      <c r="SN16" s="880"/>
      <c r="SO16" s="880"/>
      <c r="SP16" s="880"/>
      <c r="SQ16" s="880"/>
      <c r="SR16" s="880"/>
      <c r="SS16" s="880"/>
      <c r="ST16" s="880"/>
      <c r="SU16" s="880"/>
      <c r="SV16" s="880"/>
      <c r="SW16" s="880"/>
      <c r="SX16" s="880"/>
      <c r="SY16" s="880"/>
      <c r="SZ16" s="880"/>
      <c r="TA16" s="880"/>
      <c r="TB16" s="880"/>
      <c r="TC16" s="880"/>
      <c r="TD16" s="880"/>
      <c r="TE16" s="880"/>
      <c r="TF16" s="880"/>
      <c r="TG16" s="880"/>
      <c r="TH16" s="880"/>
      <c r="TI16" s="880"/>
      <c r="TJ16" s="880"/>
      <c r="TK16" s="880"/>
      <c r="TL16" s="880"/>
      <c r="TM16" s="880"/>
      <c r="TN16" s="880"/>
      <c r="TO16" s="880"/>
      <c r="TP16" s="880"/>
      <c r="TQ16" s="880"/>
      <c r="TR16" s="880"/>
      <c r="TS16" s="880"/>
      <c r="TT16" s="880"/>
      <c r="TU16" s="880"/>
      <c r="TV16" s="880"/>
      <c r="TW16" s="880"/>
      <c r="TX16" s="880"/>
      <c r="TY16" s="880"/>
      <c r="TZ16" s="880"/>
      <c r="UA16" s="880"/>
      <c r="UB16" s="880"/>
      <c r="UC16" s="880"/>
      <c r="UD16" s="880"/>
      <c r="UE16" s="880"/>
      <c r="UF16" s="880"/>
      <c r="UG16" s="880"/>
      <c r="UH16" s="880"/>
      <c r="UI16" s="880"/>
      <c r="UJ16" s="880"/>
      <c r="UK16" s="880"/>
      <c r="UL16" s="880"/>
      <c r="UM16" s="880"/>
      <c r="UN16" s="880"/>
      <c r="UO16" s="880"/>
      <c r="UP16" s="880"/>
      <c r="UQ16" s="880"/>
      <c r="UR16" s="880"/>
      <c r="US16" s="880"/>
      <c r="UT16" s="880"/>
      <c r="UU16" s="880"/>
      <c r="UV16" s="880"/>
      <c r="UW16" s="880"/>
      <c r="UX16" s="880"/>
      <c r="UY16" s="880"/>
      <c r="UZ16" s="880"/>
      <c r="VA16" s="880"/>
      <c r="VB16" s="880"/>
      <c r="VC16" s="880"/>
      <c r="VD16" s="880"/>
      <c r="VE16" s="880"/>
      <c r="VF16" s="880"/>
      <c r="VG16" s="880"/>
      <c r="VH16" s="880"/>
      <c r="VI16" s="880"/>
      <c r="VJ16" s="880"/>
      <c r="VK16" s="880"/>
      <c r="VL16" s="880"/>
      <c r="VM16" s="880"/>
      <c r="VN16" s="880"/>
      <c r="VO16" s="880"/>
      <c r="VP16" s="880"/>
      <c r="VQ16" s="880"/>
      <c r="VR16" s="880"/>
      <c r="VS16" s="880"/>
      <c r="VT16" s="880"/>
      <c r="VU16" s="880"/>
      <c r="VV16" s="880"/>
      <c r="VW16" s="880"/>
      <c r="VX16" s="880"/>
      <c r="VY16" s="880"/>
      <c r="VZ16" s="880"/>
      <c r="WA16" s="880"/>
      <c r="WB16" s="880"/>
      <c r="WC16" s="880"/>
      <c r="WD16" s="880"/>
      <c r="WE16" s="880"/>
      <c r="WF16" s="880"/>
      <c r="WG16" s="880"/>
      <c r="WH16" s="880"/>
      <c r="WI16" s="880"/>
      <c r="WJ16" s="880"/>
      <c r="WK16" s="880"/>
      <c r="WL16" s="880"/>
      <c r="WM16" s="880"/>
      <c r="WN16" s="880"/>
      <c r="WO16" s="880"/>
      <c r="WP16" s="880"/>
      <c r="WQ16" s="880"/>
      <c r="WR16" s="880"/>
      <c r="WS16" s="880"/>
      <c r="WT16" s="880"/>
      <c r="WU16" s="880"/>
      <c r="WV16" s="880"/>
      <c r="WW16" s="880"/>
      <c r="WX16" s="880"/>
      <c r="WY16" s="880"/>
      <c r="WZ16" s="880"/>
      <c r="XA16" s="880"/>
      <c r="XB16" s="880"/>
      <c r="XC16" s="880"/>
      <c r="XD16" s="880"/>
      <c r="XE16" s="880"/>
      <c r="XF16" s="880"/>
      <c r="XG16" s="880"/>
      <c r="XH16" s="880"/>
      <c r="XI16" s="880"/>
      <c r="XJ16" s="880"/>
      <c r="XK16" s="880"/>
      <c r="XL16" s="880"/>
      <c r="XM16" s="880"/>
      <c r="XN16" s="880"/>
      <c r="XO16" s="880"/>
      <c r="XP16" s="880"/>
      <c r="XQ16" s="880"/>
      <c r="XR16" s="880"/>
      <c r="XS16" s="880"/>
      <c r="XT16" s="880"/>
      <c r="XU16" s="880"/>
      <c r="XV16" s="880"/>
      <c r="XW16" s="880"/>
      <c r="XX16" s="880"/>
      <c r="XY16" s="880"/>
      <c r="XZ16" s="880"/>
      <c r="YA16" s="880"/>
      <c r="YB16" s="880"/>
      <c r="YC16" s="880"/>
      <c r="YD16" s="880"/>
      <c r="YE16" s="880"/>
      <c r="YF16" s="880"/>
      <c r="YG16" s="880"/>
      <c r="YH16" s="880"/>
      <c r="YI16" s="880"/>
      <c r="YJ16" s="880"/>
      <c r="YK16" s="880"/>
      <c r="YL16" s="880"/>
      <c r="YM16" s="880"/>
      <c r="YN16" s="880"/>
      <c r="YO16" s="880"/>
      <c r="YP16" s="880"/>
      <c r="YQ16" s="880"/>
      <c r="YR16" s="880"/>
      <c r="YS16" s="880"/>
      <c r="YT16" s="880"/>
      <c r="YU16" s="880"/>
      <c r="YV16" s="880"/>
      <c r="YW16" s="880"/>
      <c r="YX16" s="880"/>
      <c r="YY16" s="880"/>
      <c r="YZ16" s="880"/>
      <c r="ZA16" s="880"/>
      <c r="ZB16" s="880"/>
      <c r="ZC16" s="880"/>
      <c r="ZD16" s="880"/>
      <c r="ZE16" s="880"/>
      <c r="ZF16" s="880"/>
      <c r="ZG16" s="880"/>
      <c r="ZH16" s="880"/>
      <c r="ZI16" s="880"/>
      <c r="ZJ16" s="880"/>
      <c r="ZK16" s="880"/>
      <c r="ZL16" s="880"/>
      <c r="ZM16" s="880"/>
      <c r="ZN16" s="880"/>
      <c r="ZO16" s="880"/>
      <c r="ZP16" s="880"/>
      <c r="ZQ16" s="880"/>
      <c r="ZR16" s="880"/>
      <c r="ZS16" s="880"/>
      <c r="ZT16" s="880"/>
      <c r="ZU16" s="880"/>
      <c r="ZV16" s="880"/>
      <c r="ZW16" s="880"/>
      <c r="ZX16" s="880"/>
      <c r="ZY16" s="880"/>
      <c r="ZZ16" s="880"/>
      <c r="AAA16" s="880"/>
      <c r="AAB16" s="880"/>
      <c r="AAC16" s="880"/>
      <c r="AAD16" s="880"/>
      <c r="AAE16" s="880"/>
      <c r="AAF16" s="880"/>
      <c r="AAG16" s="880"/>
      <c r="AAH16" s="880"/>
      <c r="AAI16" s="880"/>
      <c r="AAJ16" s="880"/>
      <c r="AAK16" s="880"/>
      <c r="AAL16" s="880"/>
      <c r="AAM16" s="880"/>
      <c r="AAN16" s="880"/>
      <c r="AAO16" s="880"/>
      <c r="AAP16" s="880"/>
      <c r="AAQ16" s="880"/>
      <c r="AAR16" s="880"/>
      <c r="AAS16" s="880"/>
      <c r="AAT16" s="880"/>
      <c r="AAU16" s="880"/>
      <c r="AAV16" s="880"/>
      <c r="AAW16" s="880"/>
      <c r="AAX16" s="880"/>
      <c r="AAY16" s="880"/>
      <c r="AAZ16" s="880"/>
      <c r="ABA16" s="880"/>
      <c r="ABB16" s="880"/>
      <c r="ABC16" s="880"/>
      <c r="ABD16" s="880"/>
      <c r="ABE16" s="880"/>
      <c r="ABF16" s="880"/>
      <c r="ABG16" s="880"/>
      <c r="ABH16" s="880"/>
      <c r="ABI16" s="880"/>
      <c r="ABJ16" s="880"/>
      <c r="ABK16" s="880"/>
      <c r="ABL16" s="880"/>
      <c r="ABM16" s="880"/>
      <c r="ABN16" s="880"/>
      <c r="ABO16" s="880"/>
      <c r="ABP16" s="880"/>
      <c r="ABQ16" s="880"/>
      <c r="ABR16" s="880"/>
      <c r="ABS16" s="880"/>
      <c r="ABT16" s="880"/>
      <c r="ABU16" s="880"/>
      <c r="ABV16" s="880"/>
      <c r="ABW16" s="880"/>
      <c r="ABX16" s="880"/>
      <c r="ABY16" s="880"/>
      <c r="ABZ16" s="880"/>
      <c r="ACA16" s="880"/>
      <c r="ACB16" s="880"/>
      <c r="ACC16" s="880"/>
      <c r="ACD16" s="880"/>
      <c r="ACE16" s="880"/>
      <c r="ACF16" s="880"/>
      <c r="ACG16" s="880"/>
      <c r="ACH16" s="880"/>
      <c r="ACI16" s="880"/>
      <c r="ACJ16" s="880"/>
      <c r="ACK16" s="880"/>
      <c r="ACL16" s="880"/>
      <c r="ACM16" s="880"/>
      <c r="ACN16" s="880"/>
      <c r="ACO16" s="880"/>
      <c r="ACP16" s="880"/>
      <c r="ACQ16" s="880"/>
      <c r="ACR16" s="880"/>
      <c r="ACS16" s="880"/>
      <c r="ACT16" s="880"/>
      <c r="ACU16" s="880"/>
      <c r="ACV16" s="880"/>
      <c r="ACW16" s="880"/>
      <c r="ACX16" s="880"/>
      <c r="ACY16" s="880"/>
      <c r="ACZ16" s="880"/>
      <c r="ADA16" s="880"/>
      <c r="ADB16" s="880"/>
      <c r="ADC16" s="880"/>
      <c r="ADD16" s="880"/>
      <c r="ADE16" s="880"/>
      <c r="ADF16" s="880"/>
      <c r="ADG16" s="880"/>
      <c r="ADH16" s="880"/>
      <c r="ADI16" s="880"/>
      <c r="ADJ16" s="880"/>
      <c r="ADK16" s="880"/>
      <c r="ADL16" s="880"/>
      <c r="ADM16" s="880"/>
      <c r="ADN16" s="880"/>
      <c r="ADO16" s="880"/>
      <c r="ADP16" s="880"/>
      <c r="ADQ16" s="880"/>
      <c r="ADR16" s="880"/>
      <c r="ADS16" s="880"/>
      <c r="ADT16" s="880"/>
      <c r="ADU16" s="880"/>
      <c r="ADV16" s="880"/>
      <c r="ADW16" s="880"/>
      <c r="ADX16" s="880"/>
      <c r="ADY16" s="880"/>
      <c r="ADZ16" s="880"/>
      <c r="AEA16" s="880"/>
      <c r="AEB16" s="880"/>
      <c r="AEC16" s="880"/>
      <c r="AED16" s="880"/>
      <c r="AEE16" s="880"/>
      <c r="AEF16" s="880"/>
      <c r="AEG16" s="880"/>
      <c r="AEH16" s="880"/>
      <c r="AEI16" s="880"/>
      <c r="AEJ16" s="880"/>
      <c r="AEK16" s="880"/>
      <c r="AEL16" s="880"/>
      <c r="AEM16" s="880"/>
      <c r="AEN16" s="880"/>
      <c r="AEO16" s="880"/>
      <c r="AEP16" s="880"/>
      <c r="AEQ16" s="880"/>
      <c r="AER16" s="880"/>
      <c r="AES16" s="880"/>
      <c r="AET16" s="880"/>
      <c r="AEU16" s="880"/>
      <c r="AEV16" s="880"/>
      <c r="AEW16" s="880"/>
      <c r="AEX16" s="880"/>
      <c r="AEY16" s="880"/>
      <c r="AEZ16" s="880"/>
      <c r="AFA16" s="880"/>
      <c r="AFB16" s="880"/>
      <c r="AFC16" s="880"/>
      <c r="AFD16" s="880"/>
      <c r="AFE16" s="880"/>
      <c r="AFF16" s="880"/>
      <c r="AFG16" s="880"/>
      <c r="AFH16" s="880"/>
      <c r="AFI16" s="880"/>
      <c r="AFJ16" s="880"/>
      <c r="AFK16" s="880"/>
      <c r="AFL16" s="880"/>
      <c r="AFM16" s="880"/>
      <c r="AFN16" s="880"/>
      <c r="AFO16" s="880"/>
      <c r="AFP16" s="880"/>
      <c r="AFQ16" s="880"/>
      <c r="AFR16" s="880"/>
      <c r="AFS16" s="880"/>
      <c r="AFT16" s="880"/>
      <c r="AFU16" s="880"/>
      <c r="AFV16" s="880"/>
      <c r="AFW16" s="880"/>
      <c r="AFX16" s="880"/>
      <c r="AFY16" s="880"/>
      <c r="AFZ16" s="880"/>
      <c r="AGA16" s="880"/>
      <c r="AGB16" s="880"/>
      <c r="AGC16" s="880"/>
      <c r="AGD16" s="880"/>
      <c r="AGE16" s="880"/>
      <c r="AGF16" s="880"/>
      <c r="AGG16" s="880"/>
      <c r="AGH16" s="880"/>
      <c r="AGI16" s="880"/>
      <c r="AGJ16" s="880"/>
      <c r="AGK16" s="880"/>
      <c r="AGL16" s="880"/>
      <c r="AGM16" s="880"/>
      <c r="AGN16" s="880"/>
      <c r="AGO16" s="880"/>
      <c r="AGP16" s="880"/>
      <c r="AGQ16" s="880"/>
      <c r="AGR16" s="880"/>
      <c r="AGS16" s="880"/>
      <c r="AGT16" s="880"/>
      <c r="AGU16" s="880"/>
      <c r="AGV16" s="880"/>
      <c r="AGW16" s="880"/>
      <c r="AGX16" s="880"/>
      <c r="AGY16" s="880"/>
      <c r="AGZ16" s="880"/>
      <c r="AHA16" s="880"/>
      <c r="AHB16" s="880"/>
      <c r="AHC16" s="880"/>
      <c r="AHD16" s="880"/>
      <c r="AHE16" s="880"/>
      <c r="AHF16" s="880"/>
      <c r="AHG16" s="880"/>
      <c r="AHH16" s="880"/>
      <c r="AHI16" s="880"/>
      <c r="AHJ16" s="880"/>
      <c r="AHK16" s="880"/>
      <c r="AHL16" s="880"/>
      <c r="AHM16" s="880"/>
      <c r="AHN16" s="880"/>
      <c r="AHO16" s="880"/>
      <c r="AHP16" s="880"/>
      <c r="AHQ16" s="880"/>
      <c r="AHR16" s="880"/>
      <c r="AHS16" s="880"/>
      <c r="AHT16" s="880"/>
      <c r="AHU16" s="880"/>
      <c r="AHV16" s="880"/>
      <c r="AHW16" s="880"/>
      <c r="AHX16" s="880"/>
      <c r="AHY16" s="880"/>
      <c r="AHZ16" s="880"/>
      <c r="AIA16" s="880"/>
      <c r="AIB16" s="880"/>
      <c r="AIC16" s="880"/>
      <c r="AID16" s="880"/>
      <c r="AIE16" s="880"/>
      <c r="AIF16" s="880"/>
      <c r="AIG16" s="880"/>
      <c r="AIH16" s="880"/>
      <c r="AII16" s="880"/>
      <c r="AIJ16" s="880"/>
      <c r="AIK16" s="880"/>
      <c r="AIL16" s="880"/>
      <c r="AIM16" s="880"/>
      <c r="AIN16" s="880"/>
      <c r="AIO16" s="880"/>
      <c r="AIP16" s="880"/>
      <c r="AIQ16" s="880"/>
      <c r="AIR16" s="880"/>
      <c r="AIS16" s="880"/>
      <c r="AIT16" s="880"/>
      <c r="AIU16" s="880"/>
      <c r="AIV16" s="880"/>
      <c r="AIW16" s="880"/>
      <c r="AIX16" s="880"/>
      <c r="AIY16" s="880"/>
      <c r="AIZ16" s="880"/>
      <c r="AJA16" s="880"/>
      <c r="AJB16" s="880"/>
      <c r="AJC16" s="880"/>
      <c r="AJD16" s="880"/>
      <c r="AJE16" s="880"/>
      <c r="AJF16" s="880"/>
      <c r="AJG16" s="880"/>
      <c r="AJH16" s="880"/>
      <c r="AJI16" s="880"/>
      <c r="AJJ16" s="880"/>
      <c r="AJK16" s="880"/>
      <c r="AJL16" s="880"/>
      <c r="AJM16" s="880"/>
      <c r="AJN16" s="880"/>
      <c r="AJO16" s="880"/>
      <c r="AJP16" s="880"/>
      <c r="AJQ16" s="880"/>
      <c r="AJR16" s="880"/>
      <c r="AJS16" s="880"/>
      <c r="AJT16" s="880"/>
      <c r="AJU16" s="880"/>
      <c r="AJV16" s="880"/>
      <c r="AJW16" s="880"/>
      <c r="AJX16" s="880"/>
      <c r="AJY16" s="880"/>
      <c r="AJZ16" s="880"/>
      <c r="AKA16" s="880"/>
      <c r="AKB16" s="880"/>
      <c r="AKC16" s="880"/>
      <c r="AKD16" s="880"/>
      <c r="AKE16" s="880"/>
      <c r="AKF16" s="880"/>
      <c r="AKG16" s="880"/>
      <c r="AKH16" s="880"/>
      <c r="AKI16" s="880"/>
      <c r="AKJ16" s="880"/>
      <c r="AKK16" s="880"/>
      <c r="AKL16" s="880"/>
      <c r="AKM16" s="880"/>
      <c r="AKN16" s="880"/>
      <c r="AKO16" s="880"/>
      <c r="AKP16" s="880"/>
      <c r="AKQ16" s="880"/>
      <c r="AKR16" s="880"/>
      <c r="AKS16" s="880"/>
      <c r="AKT16" s="880"/>
      <c r="AKU16" s="880"/>
      <c r="AKV16" s="880"/>
      <c r="AKW16" s="880"/>
    </row>
    <row r="17" spans="1:23" ht="33" customHeight="1" thickBot="1" x14ac:dyDescent="0.35">
      <c r="A17" s="1112" t="s">
        <v>76</v>
      </c>
      <c r="B17" s="1112"/>
      <c r="C17" s="1113"/>
      <c r="D17" s="1113"/>
      <c r="E17" s="880"/>
      <c r="F17" s="890"/>
      <c r="G17" s="889">
        <v>206</v>
      </c>
      <c r="H17" s="886" t="s">
        <v>77</v>
      </c>
      <c r="I17" s="887" t="e">
        <f>IF(($I$10*10^(($I$6-$G$17)/$C$28))&gt;$I$28,$I$28,$I$10*10^(($I$6-$G$17)/$C$28))</f>
        <v>#N/A</v>
      </c>
      <c r="J17" s="888" t="e">
        <f>I17*3.28</f>
        <v>#N/A</v>
      </c>
      <c r="K17" s="448"/>
      <c r="L17" s="1134" t="e">
        <f>(($I17^2)*PI())/1000000</f>
        <v>#N/A</v>
      </c>
      <c r="M17" s="1135"/>
      <c r="N17" s="885"/>
      <c r="O17" s="1162"/>
      <c r="P17" s="1163"/>
      <c r="Q17" s="1163"/>
      <c r="R17" s="880"/>
      <c r="S17" s="880"/>
      <c r="T17" s="880"/>
      <c r="U17" s="880"/>
      <c r="V17" s="880"/>
      <c r="W17" s="880"/>
    </row>
    <row r="18" spans="1:23" ht="6.75" customHeight="1" thickBot="1" x14ac:dyDescent="0.35">
      <c r="A18" s="880"/>
      <c r="B18" s="880"/>
      <c r="C18" s="880"/>
      <c r="D18" s="880"/>
      <c r="E18" s="880"/>
      <c r="F18" s="880"/>
      <c r="G18" s="880"/>
      <c r="H18" s="880"/>
      <c r="I18" s="880"/>
      <c r="J18" s="880"/>
      <c r="K18" s="758"/>
      <c r="L18" s="880"/>
      <c r="M18" s="291"/>
      <c r="N18" s="885"/>
      <c r="O18" s="1162"/>
      <c r="P18" s="1163"/>
      <c r="Q18" s="1163"/>
      <c r="R18" s="880"/>
      <c r="S18" s="880"/>
      <c r="T18" s="880"/>
      <c r="U18" s="880"/>
      <c r="V18" s="880"/>
      <c r="W18" s="880"/>
    </row>
    <row r="19" spans="1:23" ht="24" customHeight="1" thickBot="1" x14ac:dyDescent="0.4">
      <c r="A19" s="1136" t="s">
        <v>78</v>
      </c>
      <c r="B19" s="1136"/>
      <c r="C19" s="1136"/>
      <c r="D19" s="1136"/>
      <c r="E19" s="880"/>
      <c r="F19" s="423" t="s">
        <v>79</v>
      </c>
      <c r="G19" s="423"/>
      <c r="H19" s="424"/>
      <c r="I19" s="1130" t="s">
        <v>62</v>
      </c>
      <c r="J19" s="1131"/>
      <c r="K19" s="451"/>
      <c r="L19" s="1068" t="s">
        <v>63</v>
      </c>
      <c r="M19" s="1069"/>
      <c r="N19" s="885"/>
      <c r="O19" s="1162"/>
      <c r="P19" s="1163"/>
      <c r="Q19" s="1163"/>
      <c r="R19" s="880"/>
      <c r="S19" s="1149" t="s">
        <v>80</v>
      </c>
      <c r="T19" s="1149"/>
      <c r="U19" s="1149"/>
      <c r="V19" s="1149"/>
      <c r="W19" s="1149"/>
    </row>
    <row r="20" spans="1:23" ht="23.25" customHeight="1" thickBot="1" x14ac:dyDescent="0.35">
      <c r="A20" s="1114" t="s">
        <v>81</v>
      </c>
      <c r="B20" s="1114"/>
      <c r="C20" s="1113"/>
      <c r="D20" s="1113"/>
      <c r="E20" s="880"/>
      <c r="F20" s="431" t="s">
        <v>65</v>
      </c>
      <c r="G20" s="1125" t="s">
        <v>82</v>
      </c>
      <c r="H20" s="1126"/>
      <c r="I20" s="295" t="s">
        <v>67</v>
      </c>
      <c r="J20" s="454" t="s">
        <v>68</v>
      </c>
      <c r="K20" s="453"/>
      <c r="L20" s="1072" t="s">
        <v>69</v>
      </c>
      <c r="M20" s="1073"/>
      <c r="N20" s="885"/>
      <c r="O20" s="1162"/>
      <c r="P20" s="1163"/>
      <c r="Q20" s="1163"/>
      <c r="R20" s="880"/>
      <c r="S20" s="1150"/>
      <c r="T20" s="1150"/>
      <c r="U20" s="1150"/>
      <c r="V20" s="1150"/>
      <c r="W20" s="1150"/>
    </row>
    <row r="21" spans="1:23" ht="33" customHeight="1" thickTop="1" x14ac:dyDescent="0.3">
      <c r="A21" s="1114" t="s">
        <v>83</v>
      </c>
      <c r="B21" s="1114"/>
      <c r="C21" s="1113"/>
      <c r="D21" s="1113"/>
      <c r="E21" s="880"/>
      <c r="F21" s="1132" t="s">
        <v>84</v>
      </c>
      <c r="G21" s="1127" t="s">
        <v>85</v>
      </c>
      <c r="H21" s="1128"/>
      <c r="I21" s="457">
        <v>42</v>
      </c>
      <c r="J21" s="455">
        <f>I21*3.28</f>
        <v>137.76</v>
      </c>
      <c r="K21" s="448"/>
      <c r="L21" s="1070">
        <f>(($I21^2)*PI())/1000000</f>
        <v>5.541769440932395E-3</v>
      </c>
      <c r="M21" s="1071"/>
      <c r="N21" s="885"/>
      <c r="O21" s="1162"/>
      <c r="P21" s="1163"/>
      <c r="Q21" s="1163"/>
      <c r="R21" s="880"/>
      <c r="S21" s="417"/>
      <c r="T21" s="417"/>
      <c r="U21" s="1151" t="s">
        <v>86</v>
      </c>
      <c r="V21" s="1154" t="s">
        <v>87</v>
      </c>
      <c r="W21" s="1155"/>
    </row>
    <row r="22" spans="1:23" ht="33" customHeight="1" x14ac:dyDescent="0.3">
      <c r="A22" s="1114" t="s">
        <v>88</v>
      </c>
      <c r="B22" s="1114"/>
      <c r="C22" s="1113"/>
      <c r="D22" s="1113"/>
      <c r="E22" s="880"/>
      <c r="F22" s="1133"/>
      <c r="G22" s="1127" t="s">
        <v>89</v>
      </c>
      <c r="H22" s="1128"/>
      <c r="I22" s="457">
        <v>168</v>
      </c>
      <c r="J22" s="455">
        <f>I22*3.28</f>
        <v>551.04</v>
      </c>
      <c r="K22" s="448"/>
      <c r="L22" s="1070">
        <f>(($I22^2)*PI())/1000000</f>
        <v>8.866831105491832E-2</v>
      </c>
      <c r="M22" s="1071"/>
      <c r="N22" s="885"/>
      <c r="O22" s="1162"/>
      <c r="P22" s="1163"/>
      <c r="Q22" s="1163"/>
      <c r="R22" s="880"/>
      <c r="S22" s="417"/>
      <c r="T22" s="417"/>
      <c r="U22" s="1152"/>
      <c r="V22" s="1156" t="s">
        <v>85</v>
      </c>
      <c r="W22" s="1158" t="s">
        <v>89</v>
      </c>
    </row>
    <row r="23" spans="1:23" ht="33" customHeight="1" thickBot="1" x14ac:dyDescent="0.35">
      <c r="A23" s="1114" t="s">
        <v>90</v>
      </c>
      <c r="B23" s="1114"/>
      <c r="C23" s="1115"/>
      <c r="D23" s="1115"/>
      <c r="E23" s="880"/>
      <c r="F23" s="432" t="s">
        <v>91</v>
      </c>
      <c r="G23" s="461">
        <v>202</v>
      </c>
      <c r="H23" s="459" t="s">
        <v>73</v>
      </c>
      <c r="I23" s="457" t="e">
        <f>IF(($I$10*10^(($I$9-$G$23)/$C$28))&gt;$I$28,$I$28,$I$10*10^(($I$9-$G$23)/$C$28))</f>
        <v>#N/A</v>
      </c>
      <c r="J23" s="455" t="e">
        <f>I23*3.28</f>
        <v>#N/A</v>
      </c>
      <c r="K23" s="448"/>
      <c r="L23" s="1070" t="e">
        <f>(($I23^2)*PI())/1000000</f>
        <v>#N/A</v>
      </c>
      <c r="M23" s="1071"/>
      <c r="N23" s="885"/>
      <c r="O23" s="1162"/>
      <c r="P23" s="1163"/>
      <c r="Q23" s="1163"/>
      <c r="R23" s="880"/>
      <c r="S23" s="426"/>
      <c r="T23" s="426"/>
      <c r="U23" s="1153"/>
      <c r="V23" s="1157"/>
      <c r="W23" s="1159"/>
    </row>
    <row r="24" spans="1:23" ht="33" customHeight="1" thickBot="1" x14ac:dyDescent="0.35">
      <c r="A24" s="1114" t="s">
        <v>92</v>
      </c>
      <c r="B24" s="1114"/>
      <c r="C24" s="1129"/>
      <c r="D24" s="1129"/>
      <c r="E24" s="880"/>
      <c r="F24" s="433" t="s">
        <v>93</v>
      </c>
      <c r="G24" s="462">
        <v>208</v>
      </c>
      <c r="H24" s="460" t="s">
        <v>73</v>
      </c>
      <c r="I24" s="458" t="e">
        <f>IF(($I$10*10^(($I$9-$G$24)/$C$28))&gt;$I$28,$I$28,$I$10*10^(($I$9-$G$24)/$C$28))</f>
        <v>#N/A</v>
      </c>
      <c r="J24" s="456" t="e">
        <f>I24*3.28</f>
        <v>#N/A</v>
      </c>
      <c r="K24" s="448"/>
      <c r="L24" s="1137" t="e">
        <f>(($I24^2)*PI())/1000000</f>
        <v>#N/A</v>
      </c>
      <c r="M24" s="1138"/>
      <c r="N24" s="885"/>
      <c r="O24" s="1162"/>
      <c r="P24" s="1163"/>
      <c r="Q24" s="1163"/>
      <c r="R24" s="880"/>
      <c r="S24" s="1160" t="s">
        <v>94</v>
      </c>
      <c r="T24" s="1035" t="s">
        <v>95</v>
      </c>
      <c r="U24" s="438">
        <f>SUM('Cumulative Prob'!$G$15:$G$20)</f>
        <v>0</v>
      </c>
      <c r="V24" s="438">
        <f>SUM('Cumulative Prob'!$M$15:$M$20)</f>
        <v>0</v>
      </c>
      <c r="W24" s="439">
        <f>SUM('Cumulative Prob'!$S$15:$S$20)</f>
        <v>0</v>
      </c>
    </row>
    <row r="25" spans="1:23" ht="22.95" customHeight="1" thickBot="1" x14ac:dyDescent="0.35">
      <c r="A25" s="880"/>
      <c r="B25" s="880"/>
      <c r="C25" s="1139"/>
      <c r="D25" s="1139"/>
      <c r="E25" s="880"/>
      <c r="F25" s="419"/>
      <c r="G25" s="446"/>
      <c r="H25" s="446"/>
      <c r="I25" s="445"/>
      <c r="J25" s="420"/>
      <c r="K25" s="448"/>
      <c r="L25" s="418"/>
      <c r="M25" s="291"/>
      <c r="N25" s="885"/>
      <c r="O25" s="1162"/>
      <c r="P25" s="1163"/>
      <c r="Q25" s="1163"/>
      <c r="R25" s="880"/>
      <c r="S25" s="1161"/>
      <c r="T25" s="1036" t="s">
        <v>96</v>
      </c>
      <c r="U25" s="440">
        <f>SUM('Cumulative Prob'!$I$15:$I$20)</f>
        <v>0</v>
      </c>
      <c r="V25" s="440">
        <f>SUM('Cumulative Prob'!$O$15:$O$20)</f>
        <v>0</v>
      </c>
      <c r="W25" s="441">
        <f>SUM('Cumulative Prob'!$U$15:$U$20)</f>
        <v>0</v>
      </c>
    </row>
    <row r="26" spans="1:23" ht="31.95" customHeight="1" thickBot="1" x14ac:dyDescent="0.4">
      <c r="A26" s="1140" t="s">
        <v>97</v>
      </c>
      <c r="B26" s="1140"/>
      <c r="C26" s="1140"/>
      <c r="D26" s="1140"/>
      <c r="E26" s="880"/>
      <c r="F26" s="423" t="s">
        <v>98</v>
      </c>
      <c r="G26" s="424"/>
      <c r="H26" s="423"/>
      <c r="I26" s="1130" t="s">
        <v>62</v>
      </c>
      <c r="J26" s="1131"/>
      <c r="K26" s="451"/>
      <c r="L26" s="1068" t="s">
        <v>63</v>
      </c>
      <c r="M26" s="1069"/>
      <c r="N26" s="885"/>
      <c r="O26" s="1162"/>
      <c r="P26" s="1163"/>
      <c r="Q26" s="1163"/>
      <c r="R26" s="426"/>
      <c r="S26" s="1160" t="s">
        <v>99</v>
      </c>
      <c r="T26" s="1035" t="s">
        <v>95</v>
      </c>
      <c r="U26" s="438">
        <f>SUM('Cumulative Prob'!$G$23:$G$24)</f>
        <v>0</v>
      </c>
      <c r="V26" s="438">
        <f>SUM('Cumulative Prob'!$M$23:$M$24)</f>
        <v>0</v>
      </c>
      <c r="W26" s="439">
        <f>SUM('Cumulative Prob'!$S$23:$S$24)</f>
        <v>0</v>
      </c>
    </row>
    <row r="27" spans="1:23" ht="22.5" customHeight="1" thickBot="1" x14ac:dyDescent="0.35">
      <c r="A27" s="1144" t="s">
        <v>100</v>
      </c>
      <c r="B27" s="1145"/>
      <c r="C27" s="1146">
        <v>150</v>
      </c>
      <c r="D27" s="1146"/>
      <c r="E27" s="880"/>
      <c r="F27" s="431" t="s">
        <v>65</v>
      </c>
      <c r="G27" s="1125" t="s">
        <v>101</v>
      </c>
      <c r="H27" s="1126"/>
      <c r="I27" s="295" t="s">
        <v>67</v>
      </c>
      <c r="J27" s="454" t="s">
        <v>68</v>
      </c>
      <c r="K27" s="453"/>
      <c r="L27" s="1066" t="s">
        <v>69</v>
      </c>
      <c r="M27" s="1067"/>
      <c r="N27" s="885"/>
      <c r="O27" s="1162"/>
      <c r="P27" s="1163"/>
      <c r="Q27" s="1163"/>
      <c r="R27" s="294"/>
      <c r="S27" s="1161"/>
      <c r="T27" s="1036" t="s">
        <v>96</v>
      </c>
      <c r="U27" s="440">
        <f>SUM('Cumulative Prob'!$I$23:$I$24)</f>
        <v>0</v>
      </c>
      <c r="V27" s="440">
        <f>SUM('Cumulative Prob'!$O$23:$O$24)</f>
        <v>0</v>
      </c>
      <c r="W27" s="441">
        <f>SUM('Cumulative Prob'!$U$23:$U$24)</f>
        <v>0</v>
      </c>
    </row>
    <row r="28" spans="1:23" ht="31.95" customHeight="1" x14ac:dyDescent="0.3">
      <c r="A28" s="1141" t="s">
        <v>102</v>
      </c>
      <c r="B28" s="1142"/>
      <c r="C28" s="1143">
        <v>15</v>
      </c>
      <c r="D28" s="1143"/>
      <c r="E28" s="880"/>
      <c r="F28" s="430" t="s">
        <v>103</v>
      </c>
      <c r="G28" s="461">
        <v>150</v>
      </c>
      <c r="H28" s="459" t="s">
        <v>73</v>
      </c>
      <c r="I28" s="457" t="e">
        <f>$I$10*10^(($I$8-$C$27)/$C$28)</f>
        <v>#N/A</v>
      </c>
      <c r="J28" s="455" t="e">
        <f>I28*3.28</f>
        <v>#N/A</v>
      </c>
      <c r="K28" s="448"/>
      <c r="L28" s="1064" t="e">
        <f>(($I28^2)*PI())/1000000</f>
        <v>#N/A</v>
      </c>
      <c r="M28" s="1065"/>
      <c r="N28" s="885"/>
      <c r="O28" s="1162"/>
      <c r="P28" s="1163"/>
      <c r="Q28" s="1163"/>
      <c r="R28" s="294"/>
      <c r="S28" s="1160" t="s">
        <v>104</v>
      </c>
      <c r="T28" s="1035" t="s">
        <v>95</v>
      </c>
      <c r="U28" s="438">
        <f t="shared" ref="U28:W29" si="0">1-((1-U24)*(1-U26))</f>
        <v>0</v>
      </c>
      <c r="V28" s="438">
        <f t="shared" si="0"/>
        <v>0</v>
      </c>
      <c r="W28" s="439">
        <f t="shared" si="0"/>
        <v>0</v>
      </c>
    </row>
    <row r="29" spans="1:23" ht="22.5" customHeight="1" thickBot="1" x14ac:dyDescent="0.35">
      <c r="A29" s="880"/>
      <c r="B29" s="880"/>
      <c r="C29" s="880"/>
      <c r="D29" s="880"/>
      <c r="E29" s="880"/>
      <c r="F29" s="434" t="s">
        <v>105</v>
      </c>
      <c r="G29" s="462">
        <v>150</v>
      </c>
      <c r="H29" s="460" t="s">
        <v>106</v>
      </c>
      <c r="I29" s="458" t="e">
        <f>$I$10*10^(($I$7-$C$27)/$C$28)</f>
        <v>#N/A</v>
      </c>
      <c r="J29" s="456" t="e">
        <f>I29*3.28</f>
        <v>#N/A</v>
      </c>
      <c r="K29" s="448"/>
      <c r="L29" s="1147" t="e">
        <f>(($I29^2)*PI())/1000000</f>
        <v>#N/A</v>
      </c>
      <c r="M29" s="1148"/>
      <c r="N29" s="291"/>
      <c r="O29" s="1162"/>
      <c r="P29" s="1163"/>
      <c r="Q29" s="1163"/>
      <c r="R29" s="291"/>
      <c r="S29" s="1161"/>
      <c r="T29" s="1036" t="s">
        <v>96</v>
      </c>
      <c r="U29" s="440">
        <f t="shared" si="0"/>
        <v>0</v>
      </c>
      <c r="V29" s="440">
        <f t="shared" si="0"/>
        <v>0</v>
      </c>
      <c r="W29" s="441">
        <f t="shared" si="0"/>
        <v>0</v>
      </c>
    </row>
    <row r="30" spans="1:23" ht="37.5" customHeight="1" x14ac:dyDescent="0.3">
      <c r="A30" s="880"/>
      <c r="B30" s="880"/>
      <c r="C30" s="880"/>
      <c r="D30" s="880"/>
      <c r="E30" s="880"/>
      <c r="F30" s="880"/>
      <c r="G30" s="291"/>
      <c r="H30" s="291"/>
      <c r="I30" s="293"/>
      <c r="J30" s="291"/>
      <c r="K30" s="426"/>
      <c r="L30" s="291"/>
      <c r="M30" s="291"/>
      <c r="N30" s="880"/>
      <c r="O30" s="880"/>
      <c r="Q30" s="880"/>
      <c r="R30" s="291"/>
      <c r="S30" s="291"/>
      <c r="T30" s="291"/>
      <c r="U30" s="291"/>
      <c r="V30" s="291"/>
      <c r="W30" s="291"/>
    </row>
    <row r="31" spans="1:23" x14ac:dyDescent="0.3">
      <c r="A31" s="880"/>
      <c r="B31" s="880"/>
      <c r="C31" s="880"/>
      <c r="D31" s="880"/>
      <c r="E31" s="880"/>
      <c r="F31" s="880"/>
      <c r="G31" s="880"/>
      <c r="H31" s="880"/>
      <c r="J31" s="880"/>
      <c r="L31" s="880"/>
      <c r="M31" s="880"/>
      <c r="N31" s="880"/>
      <c r="O31" s="880"/>
      <c r="Q31" s="880"/>
      <c r="R31" s="291"/>
      <c r="S31" s="291"/>
      <c r="T31" s="291"/>
      <c r="U31" s="291"/>
      <c r="V31" s="291"/>
      <c r="W31" s="291"/>
    </row>
    <row r="32" spans="1:23" ht="15.75" customHeight="1" x14ac:dyDescent="0.3">
      <c r="A32" s="880"/>
      <c r="B32" s="880"/>
      <c r="C32" s="880"/>
      <c r="D32" s="880"/>
      <c r="E32" s="880"/>
      <c r="F32" s="880"/>
      <c r="G32" s="880"/>
      <c r="H32" s="880"/>
      <c r="J32" s="880"/>
      <c r="L32" s="880"/>
      <c r="M32" s="880"/>
      <c r="N32" s="880"/>
      <c r="O32" s="880"/>
      <c r="Q32" s="880"/>
      <c r="R32" s="291"/>
      <c r="S32" s="291"/>
      <c r="T32" s="291"/>
      <c r="U32" s="291"/>
      <c r="V32" s="291"/>
      <c r="W32" s="291"/>
    </row>
    <row r="33" spans="18:23" ht="15.75" customHeight="1" x14ac:dyDescent="0.3">
      <c r="R33" s="291"/>
      <c r="S33" s="291"/>
      <c r="T33" s="291"/>
      <c r="U33" s="291"/>
      <c r="V33" s="291"/>
      <c r="W33" s="291"/>
    </row>
  </sheetData>
  <sheetProtection pivotTables="0"/>
  <mergeCells count="91">
    <mergeCell ref="L29:M29"/>
    <mergeCell ref="S19:W20"/>
    <mergeCell ref="U21:U23"/>
    <mergeCell ref="V21:W21"/>
    <mergeCell ref="V22:V23"/>
    <mergeCell ref="W22:W23"/>
    <mergeCell ref="S26:S27"/>
    <mergeCell ref="S28:S29"/>
    <mergeCell ref="S24:S25"/>
    <mergeCell ref="O14:Q29"/>
    <mergeCell ref="L27:M27"/>
    <mergeCell ref="G27:H27"/>
    <mergeCell ref="A28:B28"/>
    <mergeCell ref="C28:D28"/>
    <mergeCell ref="A27:B27"/>
    <mergeCell ref="C27:D27"/>
    <mergeCell ref="A24:B24"/>
    <mergeCell ref="L24:M24"/>
    <mergeCell ref="C25:D25"/>
    <mergeCell ref="A22:B22"/>
    <mergeCell ref="A26:D26"/>
    <mergeCell ref="I26:J26"/>
    <mergeCell ref="A17:B17"/>
    <mergeCell ref="C17:D17"/>
    <mergeCell ref="L17:M17"/>
    <mergeCell ref="A19:D19"/>
    <mergeCell ref="I19:J19"/>
    <mergeCell ref="G14:H14"/>
    <mergeCell ref="C21:D21"/>
    <mergeCell ref="G21:H21"/>
    <mergeCell ref="C24:D24"/>
    <mergeCell ref="I13:J13"/>
    <mergeCell ref="G20:H20"/>
    <mergeCell ref="F21:F22"/>
    <mergeCell ref="G22:H22"/>
    <mergeCell ref="A16:B16"/>
    <mergeCell ref="C14:D14"/>
    <mergeCell ref="C15:D15"/>
    <mergeCell ref="A14:B14"/>
    <mergeCell ref="A15:B15"/>
    <mergeCell ref="C16:D16"/>
    <mergeCell ref="A20:B20"/>
    <mergeCell ref="A21:B21"/>
    <mergeCell ref="C22:D22"/>
    <mergeCell ref="C23:D23"/>
    <mergeCell ref="A23:B23"/>
    <mergeCell ref="C20:D20"/>
    <mergeCell ref="A7:B7"/>
    <mergeCell ref="A5:D6"/>
    <mergeCell ref="A8:B8"/>
    <mergeCell ref="A13:B13"/>
    <mergeCell ref="C9:D9"/>
    <mergeCell ref="C13:D13"/>
    <mergeCell ref="F9:H9"/>
    <mergeCell ref="C7:D7"/>
    <mergeCell ref="I9:J9"/>
    <mergeCell ref="L11:M11"/>
    <mergeCell ref="F10:H10"/>
    <mergeCell ref="F11:H11"/>
    <mergeCell ref="A1:W1"/>
    <mergeCell ref="A3:R3"/>
    <mergeCell ref="I6:J6"/>
    <mergeCell ref="I7:J7"/>
    <mergeCell ref="I8:J8"/>
    <mergeCell ref="I4:J5"/>
    <mergeCell ref="F6:H6"/>
    <mergeCell ref="F7:H7"/>
    <mergeCell ref="F8:H8"/>
    <mergeCell ref="C8:D8"/>
    <mergeCell ref="L5:M5"/>
    <mergeCell ref="O6:Q10"/>
    <mergeCell ref="L9:M9"/>
    <mergeCell ref="C10:D10"/>
    <mergeCell ref="A9:B9"/>
    <mergeCell ref="S7:W9"/>
    <mergeCell ref="A2:R2"/>
    <mergeCell ref="L6:M6"/>
    <mergeCell ref="L7:M7"/>
    <mergeCell ref="L8:M8"/>
    <mergeCell ref="L28:M28"/>
    <mergeCell ref="L14:M14"/>
    <mergeCell ref="L13:M13"/>
    <mergeCell ref="L19:M19"/>
    <mergeCell ref="L26:M26"/>
    <mergeCell ref="L21:M21"/>
    <mergeCell ref="L15:M15"/>
    <mergeCell ref="L16:M16"/>
    <mergeCell ref="L22:M22"/>
    <mergeCell ref="L23:M23"/>
    <mergeCell ref="L20:M20"/>
    <mergeCell ref="I11:J11"/>
  </mergeCells>
  <conditionalFormatting sqref="I11:J11">
    <cfRule type="expression" dxfId="40" priority="1">
      <formula>IF(AND($L$6=0,$L$7=0,$L$8=0,$L$9=0,$L$10=0),1)</formula>
    </cfRule>
  </conditionalFormatting>
  <conditionalFormatting sqref="U29:W29">
    <cfRule type="cellIs" dxfId="39" priority="6" operator="greaterThanOrEqual">
      <formula>0.5</formula>
    </cfRule>
    <cfRule type="cellIs" dxfId="38" priority="7" operator="between">
      <formula>0.1</formula>
      <formula>0.5</formula>
    </cfRule>
    <cfRule type="cellIs" dxfId="37" priority="8" operator="greaterThan">
      <formula>0</formula>
    </cfRule>
  </conditionalFormatting>
  <conditionalFormatting sqref="U24:W24">
    <cfRule type="cellIs" dxfId="36" priority="21" operator="greaterThanOrEqual">
      <formula>0.5</formula>
    </cfRule>
    <cfRule type="cellIs" dxfId="35" priority="22" operator="between">
      <formula>0.1</formula>
      <formula>0.5</formula>
    </cfRule>
    <cfRule type="cellIs" dxfId="34" priority="23" operator="greaterThan">
      <formula>0</formula>
    </cfRule>
  </conditionalFormatting>
  <conditionalFormatting sqref="U25:W25">
    <cfRule type="cellIs" dxfId="33" priority="18" operator="greaterThanOrEqual">
      <formula>0.5</formula>
    </cfRule>
    <cfRule type="cellIs" dxfId="32" priority="19" operator="between">
      <formula>0.1</formula>
      <formula>0.5</formula>
    </cfRule>
    <cfRule type="cellIs" dxfId="31" priority="20" operator="greaterThan">
      <formula>0</formula>
    </cfRule>
  </conditionalFormatting>
  <conditionalFormatting sqref="U26:W26">
    <cfRule type="cellIs" dxfId="30" priority="15" operator="greaterThanOrEqual">
      <formula>0.5</formula>
    </cfRule>
    <cfRule type="cellIs" dxfId="29" priority="16" operator="between">
      <formula>0.1</formula>
      <formula>0.5</formula>
    </cfRule>
    <cfRule type="cellIs" dxfId="28" priority="17" operator="greaterThan">
      <formula>0</formula>
    </cfRule>
  </conditionalFormatting>
  <conditionalFormatting sqref="U27:W27">
    <cfRule type="cellIs" dxfId="27" priority="12" operator="greaterThanOrEqual">
      <formula>0.5</formula>
    </cfRule>
    <cfRule type="cellIs" dxfId="26" priority="13" operator="between">
      <formula>0.1</formula>
      <formula>0.5</formula>
    </cfRule>
    <cfRule type="cellIs" dxfId="25" priority="14" operator="greaterThan">
      <formula>0</formula>
    </cfRule>
  </conditionalFormatting>
  <conditionalFormatting sqref="U28:W28">
    <cfRule type="cellIs" dxfId="24" priority="9" operator="greaterThanOrEqual">
      <formula>0.5</formula>
    </cfRule>
    <cfRule type="cellIs" dxfId="23" priority="10" operator="between">
      <formula>0.1</formula>
      <formula>0.5</formula>
    </cfRule>
    <cfRule type="cellIs" dxfId="22" priority="11" operator="greaterThan">
      <formula>0</formula>
    </cfRule>
  </conditionalFormatting>
  <conditionalFormatting sqref="G21:L21 V22 V24:V29">
    <cfRule type="expression" dxfId="21" priority="5">
      <formula>IF($E$10="Y",1)</formula>
    </cfRule>
  </conditionalFormatting>
  <conditionalFormatting sqref="G22:L22 W22 W24:W29">
    <cfRule type="expression" dxfId="20" priority="4">
      <formula>IF($E$10="N",1)</formula>
    </cfRule>
  </conditionalFormatting>
  <conditionalFormatting sqref="I6:J9">
    <cfRule type="expression" dxfId="19" priority="3">
      <formula>IF($C$17&gt;0,1)</formula>
    </cfRule>
  </conditionalFormatting>
  <conditionalFormatting sqref="I4:J5">
    <cfRule type="expression" dxfId="18" priority="2">
      <formula>IF($C$17&gt;0,1)</formula>
    </cfRule>
  </conditionalFormatting>
  <dataValidations count="4">
    <dataValidation type="list" allowBlank="1" showInputMessage="1" showErrorMessage="1" sqref="C8:D8" xr:uid="{00000000-0002-0000-0100-000000000000}">
      <formula1>INDIRECT($C$7)</formula1>
    </dataValidation>
    <dataValidation type="list" allowBlank="1" showInputMessage="1" showErrorMessage="1" sqref="C9:D9" xr:uid="{00000000-0002-0000-0100-000001000000}">
      <formula1>INDIRECT($C$8)</formula1>
    </dataValidation>
    <dataValidation type="list" allowBlank="1" showInputMessage="1" showErrorMessage="1" sqref="C23:D23" xr:uid="{00000000-0002-0000-0100-000002000000}">
      <formula1>"Yes,No"</formula1>
    </dataValidation>
    <dataValidation type="list" allowBlank="1" showInputMessage="1" showErrorMessage="1" sqref="C20:D20" xr:uid="{00000000-0002-0000-0100-000003000000}">
      <formula1>"1,2,3"</formula1>
    </dataValidation>
  </dataValidations>
  <printOptions headings="1"/>
  <pageMargins left="0.25" right="0.25" top="0.25" bottom="0.25" header="0.3" footer="0.3"/>
  <pageSetup paperSize="17" orientation="landscape" r:id="rId1"/>
  <ignoredErrors>
    <ignoredError sqref="E10" evalError="1"/>
  </ignoredError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4000000}">
          <x14:formula1>
            <xm:f>'Drop-down menu info'!$A$2:$A$5</xm:f>
          </x14:formula1>
          <xm:sqref>C7:D7</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K166"/>
  <sheetViews>
    <sheetView topLeftCell="K1" zoomScaleNormal="100" workbookViewId="0">
      <selection sqref="A1:Y1"/>
    </sheetView>
  </sheetViews>
  <sheetFormatPr defaultColWidth="9.21875" defaultRowHeight="13.8" x14ac:dyDescent="0.3"/>
  <cols>
    <col min="1" max="3" width="9.21875" style="756"/>
    <col min="4" max="5" width="3.5546875" style="756" customWidth="1"/>
    <col min="6" max="7" width="9.77734375" style="756" customWidth="1"/>
    <col min="8" max="8" width="2.77734375" style="756" customWidth="1"/>
    <col min="9" max="9" width="21.21875" style="756" customWidth="1"/>
    <col min="10" max="10" width="2.77734375" style="759" customWidth="1"/>
    <col min="11" max="11" width="3.5546875" style="756" customWidth="1"/>
    <col min="12" max="12" width="2.77734375" style="425" customWidth="1"/>
    <col min="13" max="13" width="14.21875" style="756" customWidth="1"/>
    <col min="14" max="14" width="1.77734375" style="425" customWidth="1"/>
    <col min="15" max="15" width="14.21875" style="756" customWidth="1"/>
    <col min="16" max="16" width="2.77734375" style="425" customWidth="1"/>
    <col min="17" max="17" width="3.5546875" style="756" customWidth="1"/>
    <col min="18" max="21" width="8.21875" style="756" customWidth="1"/>
    <col min="22" max="22" width="1.44140625" style="759" customWidth="1"/>
    <col min="23" max="25" width="8.21875" style="756" customWidth="1"/>
    <col min="26" max="26" width="3.5546875" style="756" customWidth="1"/>
    <col min="27" max="33" width="7.21875" style="880" customWidth="1"/>
    <col min="34" max="37" width="7.21875" style="756" customWidth="1"/>
    <col min="38" max="16384" width="9.21875" style="756"/>
  </cols>
  <sheetData>
    <row r="1" spans="1:37" s="838" customFormat="1" ht="22.8" x14ac:dyDescent="0.3">
      <c r="A1" s="1223" t="s">
        <v>107</v>
      </c>
      <c r="B1" s="1223"/>
      <c r="C1" s="1223"/>
      <c r="D1" s="1223"/>
      <c r="E1" s="1223"/>
      <c r="F1" s="1223"/>
      <c r="G1" s="1223"/>
      <c r="H1" s="1223"/>
      <c r="I1" s="1223"/>
      <c r="J1" s="1223"/>
      <c r="K1" s="1223"/>
      <c r="L1" s="1223"/>
      <c r="M1" s="1223"/>
      <c r="N1" s="1223"/>
      <c r="O1" s="1223"/>
      <c r="P1" s="1223"/>
      <c r="Q1" s="1223"/>
      <c r="R1" s="1223"/>
      <c r="S1" s="1223"/>
      <c r="T1" s="1223"/>
      <c r="U1" s="1223"/>
      <c r="V1" s="1223"/>
      <c r="W1" s="1223"/>
      <c r="X1" s="1223"/>
      <c r="Y1" s="1223"/>
      <c r="Z1" s="880"/>
      <c r="AA1" s="880"/>
      <c r="AB1" s="880"/>
      <c r="AC1" s="880"/>
      <c r="AD1" s="880"/>
      <c r="AE1" s="880"/>
      <c r="AF1" s="880"/>
      <c r="AG1" s="880"/>
      <c r="AH1" s="880"/>
      <c r="AI1" s="880"/>
      <c r="AJ1" s="880"/>
      <c r="AK1" s="880"/>
    </row>
    <row r="2" spans="1:37" s="425" customFormat="1" ht="7.5" customHeight="1" thickBot="1" x14ac:dyDescent="0.35">
      <c r="A2" s="868"/>
      <c r="B2" s="868"/>
      <c r="C2" s="868"/>
      <c r="D2" s="868"/>
      <c r="E2" s="868"/>
      <c r="F2" s="868"/>
      <c r="G2" s="868"/>
      <c r="H2" s="868"/>
      <c r="I2" s="868"/>
      <c r="J2" s="868"/>
      <c r="K2" s="868"/>
      <c r="L2" s="868"/>
      <c r="M2" s="868"/>
      <c r="N2" s="868"/>
      <c r="O2" s="868"/>
      <c r="P2" s="868"/>
      <c r="Q2" s="868"/>
      <c r="R2" s="868"/>
      <c r="S2" s="868"/>
      <c r="T2" s="868"/>
      <c r="U2" s="868"/>
      <c r="V2" s="868"/>
      <c r="W2" s="868"/>
      <c r="X2" s="868"/>
      <c r="Y2" s="868"/>
      <c r="AA2" s="868"/>
      <c r="AB2" s="868"/>
      <c r="AC2" s="868"/>
      <c r="AD2" s="868"/>
      <c r="AE2" s="868"/>
      <c r="AF2" s="868"/>
      <c r="AG2" s="868"/>
    </row>
    <row r="3" spans="1:37" s="817" customFormat="1" ht="13.5" customHeight="1" thickTop="1" x14ac:dyDescent="0.3">
      <c r="A3" s="865" t="s">
        <v>47</v>
      </c>
      <c r="B3" s="866">
        <f>'Pile Driving Instructions'!$F$37</f>
        <v>45000</v>
      </c>
      <c r="C3" s="867" t="str">
        <f>'Pile Driving Instructions'!$G$37</f>
        <v>LZC</v>
      </c>
      <c r="D3" s="839"/>
      <c r="E3" s="839"/>
      <c r="F3" s="839"/>
      <c r="G3" s="839"/>
      <c r="H3" s="839"/>
      <c r="I3" s="839"/>
      <c r="J3" s="839"/>
      <c r="K3" s="818"/>
      <c r="L3" s="1242" t="s">
        <v>108</v>
      </c>
      <c r="M3" s="1243"/>
      <c r="N3" s="1243"/>
      <c r="O3" s="1243"/>
      <c r="P3" s="1244"/>
      <c r="Q3" s="880"/>
      <c r="R3" s="1185" t="s">
        <v>109</v>
      </c>
      <c r="S3" s="1186"/>
      <c r="T3" s="1186"/>
      <c r="U3" s="1186"/>
      <c r="V3" s="1186"/>
      <c r="W3" s="1186"/>
      <c r="X3" s="1186"/>
      <c r="Y3" s="1187"/>
      <c r="AA3" s="1185" t="s">
        <v>110</v>
      </c>
      <c r="AB3" s="1186"/>
      <c r="AC3" s="1186"/>
      <c r="AD3" s="1186"/>
      <c r="AE3" s="1186"/>
      <c r="AF3" s="1186"/>
      <c r="AG3" s="1187"/>
    </row>
    <row r="4" spans="1:37" s="759" customFormat="1" ht="13.5" customHeight="1" thickBot="1" x14ac:dyDescent="0.35">
      <c r="A4" s="839"/>
      <c r="B4" s="839"/>
      <c r="C4" s="839"/>
      <c r="D4" s="839"/>
      <c r="E4" s="839"/>
      <c r="F4" s="839"/>
      <c r="G4" s="839"/>
      <c r="H4" s="839"/>
      <c r="I4" s="839"/>
      <c r="J4" s="839"/>
      <c r="K4" s="880"/>
      <c r="L4" s="1245"/>
      <c r="M4" s="1246"/>
      <c r="N4" s="1246"/>
      <c r="O4" s="1246"/>
      <c r="P4" s="1247"/>
      <c r="Q4" s="880"/>
      <c r="R4" s="1188"/>
      <c r="S4" s="1189"/>
      <c r="T4" s="1189"/>
      <c r="U4" s="1189"/>
      <c r="V4" s="1189"/>
      <c r="W4" s="1189"/>
      <c r="X4" s="1189"/>
      <c r="Y4" s="1190"/>
      <c r="Z4" s="880"/>
      <c r="AA4" s="1188"/>
      <c r="AB4" s="1189"/>
      <c r="AC4" s="1189"/>
      <c r="AD4" s="1189"/>
      <c r="AE4" s="1189"/>
      <c r="AF4" s="1189"/>
      <c r="AG4" s="1190"/>
      <c r="AH4" s="880"/>
      <c r="AI4" s="880"/>
      <c r="AJ4" s="880"/>
      <c r="AK4" s="880"/>
    </row>
    <row r="5" spans="1:37" ht="14.25" customHeight="1" thickTop="1" thickBot="1" x14ac:dyDescent="0.35">
      <c r="A5" s="779" t="s">
        <v>111</v>
      </c>
      <c r="B5" s="762"/>
      <c r="C5" s="762"/>
      <c r="D5" s="762"/>
      <c r="E5" s="762"/>
      <c r="F5" s="762"/>
      <c r="G5" s="762"/>
      <c r="H5" s="762"/>
      <c r="I5" s="762"/>
      <c r="J5" s="763"/>
      <c r="K5" s="880"/>
      <c r="L5" s="799"/>
      <c r="M5" s="800"/>
      <c r="N5" s="800"/>
      <c r="O5" s="800"/>
      <c r="P5" s="801"/>
      <c r="Q5" s="880"/>
      <c r="R5" s="1182" t="s">
        <v>112</v>
      </c>
      <c r="S5" s="1183"/>
      <c r="T5" s="1183"/>
      <c r="U5" s="1183"/>
      <c r="V5" s="968"/>
      <c r="W5" s="1183" t="s">
        <v>113</v>
      </c>
      <c r="X5" s="1183"/>
      <c r="Y5" s="1184"/>
      <c r="Z5" s="880"/>
      <c r="AA5" s="1191" t="s">
        <v>114</v>
      </c>
      <c r="AB5" s="1183"/>
      <c r="AC5" s="1183"/>
      <c r="AD5" s="1183"/>
      <c r="AE5" s="1194" t="s">
        <v>115</v>
      </c>
      <c r="AF5" s="1183"/>
      <c r="AG5" s="1184"/>
      <c r="AH5" s="880"/>
      <c r="AI5" s="880"/>
      <c r="AJ5" s="880"/>
      <c r="AK5" s="880"/>
    </row>
    <row r="6" spans="1:37" ht="14.25" customHeight="1" thickBot="1" x14ac:dyDescent="0.35">
      <c r="A6" s="764"/>
      <c r="B6" s="765"/>
      <c r="C6" s="765"/>
      <c r="D6" s="783"/>
      <c r="E6" s="783"/>
      <c r="F6" s="783"/>
      <c r="G6" s="781" t="s">
        <v>116</v>
      </c>
      <c r="H6" s="782"/>
      <c r="I6" s="770"/>
      <c r="J6" s="766"/>
      <c r="K6" s="880"/>
      <c r="L6" s="799"/>
      <c r="M6" s="1250" t="s">
        <v>117</v>
      </c>
      <c r="N6" s="804"/>
      <c r="O6" s="1250" t="s">
        <v>118</v>
      </c>
      <c r="P6" s="807"/>
      <c r="Q6" s="880"/>
      <c r="R6" s="1192"/>
      <c r="S6" s="1193"/>
      <c r="T6" s="1193"/>
      <c r="U6" s="1193"/>
      <c r="V6" s="968"/>
      <c r="W6" s="1193"/>
      <c r="X6" s="1193"/>
      <c r="Y6" s="1195"/>
      <c r="Z6" s="880"/>
      <c r="AA6" s="1192"/>
      <c r="AB6" s="1193"/>
      <c r="AC6" s="1193"/>
      <c r="AD6" s="1193"/>
      <c r="AE6" s="1193"/>
      <c r="AF6" s="1193"/>
      <c r="AG6" s="1195"/>
      <c r="AH6" s="880"/>
      <c r="AI6" s="880"/>
      <c r="AJ6" s="880"/>
      <c r="AK6" s="880"/>
    </row>
    <row r="7" spans="1:37" ht="14.25" customHeight="1" x14ac:dyDescent="0.3">
      <c r="A7" s="1236" t="s">
        <v>119</v>
      </c>
      <c r="B7" s="1237"/>
      <c r="C7" s="1237"/>
      <c r="D7" s="1237"/>
      <c r="E7" s="1238"/>
      <c r="F7" s="1213"/>
      <c r="G7" s="1232"/>
      <c r="H7" s="782"/>
      <c r="I7" s="770"/>
      <c r="J7" s="766"/>
      <c r="K7" s="880"/>
      <c r="L7" s="799"/>
      <c r="M7" s="1251"/>
      <c r="N7" s="804"/>
      <c r="O7" s="1251"/>
      <c r="P7" s="807"/>
      <c r="Q7" s="880"/>
      <c r="R7" s="1168" t="s">
        <v>120</v>
      </c>
      <c r="S7" s="1169"/>
      <c r="T7" s="1169"/>
      <c r="U7" s="1169"/>
      <c r="V7" s="942"/>
      <c r="W7" s="1170">
        <v>70</v>
      </c>
      <c r="X7" s="1170"/>
      <c r="Y7" s="1171"/>
      <c r="Z7" s="880"/>
      <c r="AA7" s="1182" t="s">
        <v>121</v>
      </c>
      <c r="AB7" s="1183"/>
      <c r="AC7" s="1183"/>
      <c r="AD7" s="1183"/>
      <c r="AE7" s="1183">
        <v>35</v>
      </c>
      <c r="AF7" s="1183"/>
      <c r="AG7" s="1184"/>
      <c r="AH7" s="880"/>
      <c r="AI7" s="880"/>
      <c r="AJ7" s="880"/>
      <c r="AK7" s="880"/>
    </row>
    <row r="8" spans="1:37" ht="14.25" customHeight="1" thickBot="1" x14ac:dyDescent="0.35">
      <c r="A8" s="1239"/>
      <c r="B8" s="1240"/>
      <c r="C8" s="1240"/>
      <c r="D8" s="1240"/>
      <c r="E8" s="1241"/>
      <c r="F8" s="1214"/>
      <c r="G8" s="1233"/>
      <c r="H8" s="782"/>
      <c r="I8" s="770"/>
      <c r="J8" s="766"/>
      <c r="K8" s="880"/>
      <c r="L8" s="799"/>
      <c r="M8" s="1248">
        <f>G11</f>
        <v>0</v>
      </c>
      <c r="N8" s="804"/>
      <c r="O8" s="1252">
        <f>G7</f>
        <v>0</v>
      </c>
      <c r="P8" s="808"/>
      <c r="Q8" s="880"/>
      <c r="R8" s="1168" t="s">
        <v>122</v>
      </c>
      <c r="S8" s="1169"/>
      <c r="T8" s="1169"/>
      <c r="U8" s="1169"/>
      <c r="V8" s="942"/>
      <c r="W8" s="1170">
        <v>84</v>
      </c>
      <c r="X8" s="1170"/>
      <c r="Y8" s="1171"/>
      <c r="Z8" s="880"/>
      <c r="AA8" s="1182" t="s">
        <v>123</v>
      </c>
      <c r="AB8" s="1183"/>
      <c r="AC8" s="1183"/>
      <c r="AD8" s="1183"/>
      <c r="AE8" s="1183">
        <v>40</v>
      </c>
      <c r="AF8" s="1183"/>
      <c r="AG8" s="1184"/>
      <c r="AH8" s="880"/>
      <c r="AI8" s="880"/>
      <c r="AJ8" s="880"/>
      <c r="AK8" s="880"/>
    </row>
    <row r="9" spans="1:37" ht="14.25" customHeight="1" thickBot="1" x14ac:dyDescent="0.35">
      <c r="A9" s="767"/>
      <c r="B9" s="768"/>
      <c r="C9" s="769"/>
      <c r="D9" s="770"/>
      <c r="E9" s="770"/>
      <c r="F9" s="770"/>
      <c r="G9" s="765"/>
      <c r="H9" s="765"/>
      <c r="I9" s="765"/>
      <c r="J9" s="766"/>
      <c r="K9" s="880"/>
      <c r="L9" s="799"/>
      <c r="M9" s="1249"/>
      <c r="N9" s="804"/>
      <c r="O9" s="1249"/>
      <c r="P9" s="808"/>
      <c r="Q9" s="880"/>
      <c r="R9" s="1168" t="s">
        <v>124</v>
      </c>
      <c r="S9" s="1169"/>
      <c r="T9" s="1169"/>
      <c r="U9" s="1169"/>
      <c r="V9" s="942"/>
      <c r="W9" s="1170" t="s">
        <v>125</v>
      </c>
      <c r="X9" s="1170"/>
      <c r="Y9" s="1171"/>
      <c r="Z9" s="880"/>
      <c r="AA9" s="1182" t="s">
        <v>126</v>
      </c>
      <c r="AB9" s="1183"/>
      <c r="AC9" s="1183"/>
      <c r="AD9" s="1183"/>
      <c r="AE9" s="1183">
        <v>45</v>
      </c>
      <c r="AF9" s="1183"/>
      <c r="AG9" s="1184"/>
      <c r="AH9" s="880"/>
      <c r="AI9" s="880"/>
      <c r="AJ9" s="880"/>
      <c r="AK9" s="880"/>
    </row>
    <row r="10" spans="1:37" ht="14.25" customHeight="1" thickBot="1" x14ac:dyDescent="0.35">
      <c r="A10" s="767"/>
      <c r="B10" s="768"/>
      <c r="C10" s="769"/>
      <c r="D10" s="783"/>
      <c r="E10" s="783"/>
      <c r="F10" s="765"/>
      <c r="G10" s="780" t="s">
        <v>116</v>
      </c>
      <c r="H10" s="782"/>
      <c r="I10" s="765"/>
      <c r="J10" s="766"/>
      <c r="K10" s="880"/>
      <c r="L10" s="799"/>
      <c r="M10" s="811">
        <f>F11</f>
        <v>0</v>
      </c>
      <c r="N10" s="800"/>
      <c r="O10" s="812">
        <f>F7</f>
        <v>0</v>
      </c>
      <c r="P10" s="801"/>
      <c r="Q10" s="880"/>
      <c r="R10" s="1168" t="s">
        <v>127</v>
      </c>
      <c r="S10" s="1169"/>
      <c r="T10" s="1169"/>
      <c r="U10" s="1169"/>
      <c r="V10" s="942"/>
      <c r="W10" s="1170">
        <v>83</v>
      </c>
      <c r="X10" s="1170"/>
      <c r="Y10" s="1171"/>
      <c r="Z10" s="880"/>
      <c r="AA10" s="1182" t="s">
        <v>128</v>
      </c>
      <c r="AB10" s="1183"/>
      <c r="AC10" s="1183"/>
      <c r="AD10" s="1183"/>
      <c r="AE10" s="1183">
        <v>50</v>
      </c>
      <c r="AF10" s="1183"/>
      <c r="AG10" s="1184"/>
      <c r="AH10" s="880"/>
      <c r="AI10" s="880"/>
      <c r="AJ10" s="880"/>
      <c r="AK10" s="880"/>
    </row>
    <row r="11" spans="1:37" ht="14.25" customHeight="1" x14ac:dyDescent="0.3">
      <c r="A11" s="1236" t="s">
        <v>129</v>
      </c>
      <c r="B11" s="1237"/>
      <c r="C11" s="1237"/>
      <c r="D11" s="1237"/>
      <c r="E11" s="1238"/>
      <c r="F11" s="1215"/>
      <c r="G11" s="1234"/>
      <c r="H11" s="782"/>
      <c r="I11" s="765"/>
      <c r="J11" s="766"/>
      <c r="K11" s="880"/>
      <c r="L11" s="799"/>
      <c r="M11" s="811">
        <f>M10*2</f>
        <v>0</v>
      </c>
      <c r="N11" s="800"/>
      <c r="O11" s="813">
        <f t="shared" ref="O11:O30" si="0">O10-(IF($C$18="Point",$F$28,$G$28))</f>
        <v>0</v>
      </c>
      <c r="P11" s="809"/>
      <c r="Q11" s="966"/>
      <c r="R11" s="1168" t="s">
        <v>130</v>
      </c>
      <c r="S11" s="1169"/>
      <c r="T11" s="1169"/>
      <c r="U11" s="1169"/>
      <c r="V11" s="942"/>
      <c r="W11" s="1170">
        <v>87</v>
      </c>
      <c r="X11" s="1170"/>
      <c r="Y11" s="1171"/>
      <c r="Z11" s="880"/>
      <c r="AA11" s="1182" t="s">
        <v>131</v>
      </c>
      <c r="AB11" s="1183"/>
      <c r="AC11" s="1183"/>
      <c r="AD11" s="1183"/>
      <c r="AE11" s="1183">
        <v>55</v>
      </c>
      <c r="AF11" s="1183"/>
      <c r="AG11" s="1184"/>
      <c r="AH11" s="880"/>
      <c r="AI11" s="880"/>
      <c r="AJ11" s="880"/>
      <c r="AK11" s="880"/>
    </row>
    <row r="12" spans="1:37" ht="14.25" customHeight="1" thickBot="1" x14ac:dyDescent="0.35">
      <c r="A12" s="1239"/>
      <c r="B12" s="1240"/>
      <c r="C12" s="1240"/>
      <c r="D12" s="1240"/>
      <c r="E12" s="1241"/>
      <c r="F12" s="1216"/>
      <c r="G12" s="1235"/>
      <c r="H12" s="782"/>
      <c r="I12" s="765"/>
      <c r="J12" s="766"/>
      <c r="K12" s="880"/>
      <c r="L12" s="799"/>
      <c r="M12" s="811">
        <f t="shared" ref="M12:M30" si="1">M11*2</f>
        <v>0</v>
      </c>
      <c r="N12" s="805"/>
      <c r="O12" s="813">
        <f t="shared" si="0"/>
        <v>0</v>
      </c>
      <c r="P12" s="809"/>
      <c r="Q12" s="966"/>
      <c r="R12" s="1168" t="s">
        <v>132</v>
      </c>
      <c r="S12" s="1169"/>
      <c r="T12" s="1169"/>
      <c r="U12" s="1169"/>
      <c r="V12" s="942"/>
      <c r="W12" s="1170">
        <v>75</v>
      </c>
      <c r="X12" s="1170"/>
      <c r="Y12" s="1171"/>
      <c r="Z12" s="880"/>
      <c r="AA12" s="1182" t="s">
        <v>133</v>
      </c>
      <c r="AB12" s="1183"/>
      <c r="AC12" s="1183"/>
      <c r="AD12" s="1183"/>
      <c r="AE12" s="1183">
        <v>60</v>
      </c>
      <c r="AF12" s="1183"/>
      <c r="AG12" s="1184"/>
      <c r="AH12" s="880"/>
      <c r="AI12" s="880"/>
      <c r="AJ12" s="880"/>
      <c r="AK12" s="880"/>
    </row>
    <row r="13" spans="1:37" ht="14.25" customHeight="1" thickBot="1" x14ac:dyDescent="0.35">
      <c r="A13" s="895"/>
      <c r="B13" s="892"/>
      <c r="C13" s="892"/>
      <c r="D13" s="892"/>
      <c r="E13" s="892"/>
      <c r="F13" s="893"/>
      <c r="G13" s="894"/>
      <c r="H13" s="770"/>
      <c r="I13" s="765"/>
      <c r="J13" s="766"/>
      <c r="K13" s="966"/>
      <c r="L13" s="802"/>
      <c r="M13" s="811">
        <f t="shared" si="1"/>
        <v>0</v>
      </c>
      <c r="N13" s="805"/>
      <c r="O13" s="813">
        <f t="shared" si="0"/>
        <v>0</v>
      </c>
      <c r="P13" s="809"/>
      <c r="Q13" s="966"/>
      <c r="R13" s="1168" t="s">
        <v>134</v>
      </c>
      <c r="S13" s="1169"/>
      <c r="T13" s="1169"/>
      <c r="U13" s="1169"/>
      <c r="V13" s="942"/>
      <c r="W13" s="1170">
        <v>82</v>
      </c>
      <c r="X13" s="1170"/>
      <c r="Y13" s="1171"/>
      <c r="Z13" s="880"/>
      <c r="AA13" s="1182" t="s">
        <v>135</v>
      </c>
      <c r="AB13" s="1183"/>
      <c r="AC13" s="1183"/>
      <c r="AD13" s="1183"/>
      <c r="AE13" s="1183">
        <v>65</v>
      </c>
      <c r="AF13" s="1183"/>
      <c r="AG13" s="1184"/>
      <c r="AH13" s="880"/>
      <c r="AI13" s="880"/>
      <c r="AJ13" s="880"/>
      <c r="AK13" s="880"/>
    </row>
    <row r="14" spans="1:37" ht="14.25" customHeight="1" thickBot="1" x14ac:dyDescent="0.35">
      <c r="A14" s="771"/>
      <c r="B14" s="772"/>
      <c r="C14" s="773"/>
      <c r="D14" s="765"/>
      <c r="E14" s="765"/>
      <c r="F14" s="765"/>
      <c r="G14" s="781" t="s">
        <v>116</v>
      </c>
      <c r="H14" s="770"/>
      <c r="I14" s="765"/>
      <c r="J14" s="766"/>
      <c r="K14" s="966"/>
      <c r="L14" s="802"/>
      <c r="M14" s="811">
        <f t="shared" si="1"/>
        <v>0</v>
      </c>
      <c r="N14" s="805"/>
      <c r="O14" s="813">
        <f t="shared" si="0"/>
        <v>0</v>
      </c>
      <c r="P14" s="809"/>
      <c r="Q14" s="966"/>
      <c r="R14" s="1168" t="s">
        <v>136</v>
      </c>
      <c r="S14" s="1169"/>
      <c r="T14" s="1169"/>
      <c r="U14" s="1169"/>
      <c r="V14" s="942"/>
      <c r="W14" s="1170">
        <v>89</v>
      </c>
      <c r="X14" s="1170"/>
      <c r="Y14" s="1171"/>
      <c r="Z14" s="880"/>
      <c r="AA14" s="816" t="s">
        <v>137</v>
      </c>
      <c r="AB14" s="814"/>
      <c r="AC14" s="814"/>
      <c r="AD14" s="814"/>
      <c r="AE14" s="814"/>
      <c r="AF14" s="814"/>
      <c r="AG14" s="815"/>
      <c r="AH14" s="880"/>
      <c r="AI14" s="880"/>
      <c r="AJ14" s="880"/>
      <c r="AK14" s="880"/>
    </row>
    <row r="15" spans="1:37" ht="14.25" customHeight="1" x14ac:dyDescent="0.3">
      <c r="A15" s="1236" t="s">
        <v>138</v>
      </c>
      <c r="B15" s="1237"/>
      <c r="C15" s="1237"/>
      <c r="D15" s="1237"/>
      <c r="E15" s="1238"/>
      <c r="F15" s="1215"/>
      <c r="G15" s="1232">
        <f>G7</f>
        <v>0</v>
      </c>
      <c r="H15" s="770"/>
      <c r="I15" s="765"/>
      <c r="J15" s="766"/>
      <c r="K15" s="966"/>
      <c r="L15" s="802"/>
      <c r="M15" s="811">
        <f t="shared" si="1"/>
        <v>0</v>
      </c>
      <c r="N15" s="805"/>
      <c r="O15" s="813">
        <f t="shared" si="0"/>
        <v>0</v>
      </c>
      <c r="P15" s="809"/>
      <c r="Q15" s="757"/>
      <c r="R15" s="1168" t="s">
        <v>139</v>
      </c>
      <c r="S15" s="1169"/>
      <c r="T15" s="1169"/>
      <c r="U15" s="1169"/>
      <c r="V15" s="942"/>
      <c r="W15" s="1170">
        <v>85</v>
      </c>
      <c r="X15" s="1170"/>
      <c r="Y15" s="1171"/>
      <c r="Z15" s="880"/>
      <c r="AH15" s="880"/>
      <c r="AI15" s="880"/>
      <c r="AJ15" s="880"/>
      <c r="AK15" s="880"/>
    </row>
    <row r="16" spans="1:37" s="425" customFormat="1" ht="14.25" customHeight="1" thickBot="1" x14ac:dyDescent="0.35">
      <c r="A16" s="1239"/>
      <c r="B16" s="1240"/>
      <c r="C16" s="1240"/>
      <c r="D16" s="1240"/>
      <c r="E16" s="1241"/>
      <c r="F16" s="1216"/>
      <c r="G16" s="1233"/>
      <c r="H16" s="770"/>
      <c r="I16" s="765"/>
      <c r="J16" s="766"/>
      <c r="K16" s="966"/>
      <c r="L16" s="802"/>
      <c r="M16" s="811">
        <f t="shared" si="1"/>
        <v>0</v>
      </c>
      <c r="N16" s="805"/>
      <c r="O16" s="813">
        <f t="shared" si="0"/>
        <v>0</v>
      </c>
      <c r="P16" s="809"/>
      <c r="Q16" s="880"/>
      <c r="R16" s="1168" t="s">
        <v>140</v>
      </c>
      <c r="S16" s="1169"/>
      <c r="T16" s="1169"/>
      <c r="U16" s="1169"/>
      <c r="V16" s="942"/>
      <c r="W16" s="1170">
        <v>79</v>
      </c>
      <c r="X16" s="1170"/>
      <c r="Y16" s="1171"/>
      <c r="AA16" s="880"/>
      <c r="AB16" s="880"/>
      <c r="AC16" s="880"/>
      <c r="AD16" s="880"/>
      <c r="AE16" s="880"/>
      <c r="AF16" s="880"/>
      <c r="AG16" s="880"/>
      <c r="AH16" s="880"/>
      <c r="AI16" s="880"/>
      <c r="AJ16" s="880"/>
      <c r="AK16" s="880"/>
    </row>
    <row r="17" spans="1:37" ht="14.25" customHeight="1" thickBot="1" x14ac:dyDescent="0.35">
      <c r="A17" s="771"/>
      <c r="B17" s="772"/>
      <c r="C17" s="773"/>
      <c r="D17" s="765"/>
      <c r="E17" s="765"/>
      <c r="F17" s="765"/>
      <c r="G17" s="765"/>
      <c r="H17" s="765"/>
      <c r="I17" s="765"/>
      <c r="J17" s="766"/>
      <c r="K17" s="757"/>
      <c r="L17" s="802"/>
      <c r="M17" s="811">
        <f t="shared" si="1"/>
        <v>0</v>
      </c>
      <c r="N17" s="800"/>
      <c r="O17" s="813">
        <f t="shared" si="0"/>
        <v>0</v>
      </c>
      <c r="P17" s="809"/>
      <c r="Q17" s="880"/>
      <c r="R17" s="1168" t="s">
        <v>141</v>
      </c>
      <c r="S17" s="1169"/>
      <c r="T17" s="1169"/>
      <c r="U17" s="1169"/>
      <c r="V17" s="942"/>
      <c r="W17" s="1170">
        <v>86</v>
      </c>
      <c r="X17" s="1170"/>
      <c r="Y17" s="1171"/>
      <c r="Z17" s="880"/>
      <c r="AA17" s="1172" t="s">
        <v>142</v>
      </c>
      <c r="AB17" s="1173"/>
      <c r="AC17" s="1173"/>
      <c r="AD17" s="1173"/>
      <c r="AE17" s="1173"/>
      <c r="AF17" s="1173"/>
      <c r="AG17" s="1173"/>
      <c r="AH17" s="1173"/>
      <c r="AI17" s="1173"/>
      <c r="AJ17" s="1173"/>
      <c r="AK17" s="1174"/>
    </row>
    <row r="18" spans="1:37" ht="14.25" customHeight="1" thickBot="1" x14ac:dyDescent="0.35">
      <c r="A18" s="1217" t="s">
        <v>143</v>
      </c>
      <c r="B18" s="1218"/>
      <c r="C18" s="1221"/>
      <c r="D18" s="768"/>
      <c r="E18" s="1224" t="s">
        <v>144</v>
      </c>
      <c r="F18" s="1225"/>
      <c r="G18" s="1225"/>
      <c r="H18" s="1225"/>
      <c r="I18" s="1225"/>
      <c r="J18" s="784"/>
      <c r="K18" s="880"/>
      <c r="L18" s="799"/>
      <c r="M18" s="811">
        <f t="shared" si="1"/>
        <v>0</v>
      </c>
      <c r="N18" s="800"/>
      <c r="O18" s="813">
        <f t="shared" si="0"/>
        <v>0</v>
      </c>
      <c r="P18" s="809"/>
      <c r="Q18" s="880"/>
      <c r="R18" s="1168" t="s">
        <v>145</v>
      </c>
      <c r="S18" s="1169"/>
      <c r="T18" s="1169"/>
      <c r="U18" s="1169"/>
      <c r="V18" s="942"/>
      <c r="W18" s="1170">
        <v>79</v>
      </c>
      <c r="X18" s="1170"/>
      <c r="Y18" s="1171"/>
      <c r="Z18" s="880"/>
      <c r="AA18" s="1175"/>
      <c r="AB18" s="1176"/>
      <c r="AC18" s="1176"/>
      <c r="AD18" s="1176"/>
      <c r="AE18" s="1176"/>
      <c r="AF18" s="1176"/>
      <c r="AG18" s="1176"/>
      <c r="AH18" s="1176"/>
      <c r="AI18" s="1176"/>
      <c r="AJ18" s="1176"/>
      <c r="AK18" s="1177"/>
    </row>
    <row r="19" spans="1:37" ht="14.25" customHeight="1" thickBot="1" x14ac:dyDescent="0.35">
      <c r="A19" s="1219"/>
      <c r="B19" s="1220"/>
      <c r="C19" s="1222"/>
      <c r="D19" s="768"/>
      <c r="E19" s="1226"/>
      <c r="F19" s="1227"/>
      <c r="G19" s="1227"/>
      <c r="H19" s="1227"/>
      <c r="I19" s="1227"/>
      <c r="J19" s="784"/>
      <c r="K19" s="880"/>
      <c r="L19" s="799"/>
      <c r="M19" s="811">
        <f t="shared" si="1"/>
        <v>0</v>
      </c>
      <c r="N19" s="800"/>
      <c r="O19" s="813">
        <f t="shared" si="0"/>
        <v>0</v>
      </c>
      <c r="P19" s="809"/>
      <c r="Q19" s="880"/>
      <c r="R19" s="1168" t="s">
        <v>146</v>
      </c>
      <c r="S19" s="1169"/>
      <c r="T19" s="1169"/>
      <c r="U19" s="1169"/>
      <c r="V19" s="942"/>
      <c r="W19" s="1170">
        <v>74</v>
      </c>
      <c r="X19" s="1170"/>
      <c r="Y19" s="1171"/>
      <c r="Z19" s="880"/>
      <c r="AA19" s="1178" t="s">
        <v>147</v>
      </c>
      <c r="AB19" s="1179"/>
      <c r="AC19" s="1179"/>
      <c r="AD19" s="1179"/>
      <c r="AE19" s="1179"/>
      <c r="AF19" s="1179"/>
      <c r="AG19" s="1179"/>
      <c r="AH19" s="1179"/>
      <c r="AI19" s="1179"/>
      <c r="AJ19" s="1179"/>
      <c r="AK19" s="1180"/>
    </row>
    <row r="20" spans="1:37" ht="14.25" customHeight="1" x14ac:dyDescent="0.3">
      <c r="A20" s="1228" t="s">
        <v>148</v>
      </c>
      <c r="B20" s="1229"/>
      <c r="C20" s="1221"/>
      <c r="D20" s="765"/>
      <c r="E20" s="1224" t="s">
        <v>149</v>
      </c>
      <c r="F20" s="1225"/>
      <c r="G20" s="1225"/>
      <c r="H20" s="1225"/>
      <c r="I20" s="1225"/>
      <c r="J20" s="784"/>
      <c r="K20" s="880"/>
      <c r="L20" s="799"/>
      <c r="M20" s="811">
        <f t="shared" si="1"/>
        <v>0</v>
      </c>
      <c r="N20" s="800"/>
      <c r="O20" s="813">
        <f t="shared" si="0"/>
        <v>0</v>
      </c>
      <c r="P20" s="809"/>
      <c r="Q20" s="880"/>
      <c r="R20" s="1168" t="s">
        <v>150</v>
      </c>
      <c r="S20" s="1169"/>
      <c r="T20" s="1169"/>
      <c r="U20" s="1169"/>
      <c r="V20" s="942"/>
      <c r="W20" s="1170">
        <v>87</v>
      </c>
      <c r="X20" s="1170"/>
      <c r="Y20" s="1171"/>
      <c r="Z20" s="880"/>
      <c r="AA20" s="1178"/>
      <c r="AB20" s="1179"/>
      <c r="AC20" s="1179"/>
      <c r="AD20" s="1179"/>
      <c r="AE20" s="1179"/>
      <c r="AF20" s="1179"/>
      <c r="AG20" s="1179"/>
      <c r="AH20" s="1179"/>
      <c r="AI20" s="1179"/>
      <c r="AJ20" s="1179"/>
      <c r="AK20" s="1180"/>
    </row>
    <row r="21" spans="1:37" ht="14.25" customHeight="1" thickBot="1" x14ac:dyDescent="0.35">
      <c r="A21" s="1230"/>
      <c r="B21" s="1231"/>
      <c r="C21" s="1222"/>
      <c r="D21" s="765"/>
      <c r="E21" s="1226"/>
      <c r="F21" s="1227"/>
      <c r="G21" s="1227"/>
      <c r="H21" s="1227"/>
      <c r="I21" s="1227"/>
      <c r="J21" s="784"/>
      <c r="K21" s="880"/>
      <c r="L21" s="799"/>
      <c r="M21" s="811">
        <f t="shared" si="1"/>
        <v>0</v>
      </c>
      <c r="N21" s="800"/>
      <c r="O21" s="813">
        <f t="shared" si="0"/>
        <v>0</v>
      </c>
      <c r="P21" s="809"/>
      <c r="Q21" s="880"/>
      <c r="R21" s="1168" t="s">
        <v>151</v>
      </c>
      <c r="S21" s="1169"/>
      <c r="T21" s="1169"/>
      <c r="U21" s="1169"/>
      <c r="V21" s="942"/>
      <c r="W21" s="1170">
        <v>81</v>
      </c>
      <c r="X21" s="1170"/>
      <c r="Y21" s="1171"/>
      <c r="Z21" s="880"/>
      <c r="AA21" s="1178"/>
      <c r="AB21" s="1179"/>
      <c r="AC21" s="1179"/>
      <c r="AD21" s="1179"/>
      <c r="AE21" s="1179"/>
      <c r="AF21" s="1179"/>
      <c r="AG21" s="1179"/>
      <c r="AH21" s="1179"/>
      <c r="AI21" s="1179"/>
      <c r="AJ21" s="1179"/>
      <c r="AK21" s="1180"/>
    </row>
    <row r="22" spans="1:37" ht="14.25" customHeight="1" thickBot="1" x14ac:dyDescent="0.35">
      <c r="A22" s="774"/>
      <c r="B22" s="775"/>
      <c r="C22" s="776"/>
      <c r="D22" s="777"/>
      <c r="E22" s="775"/>
      <c r="F22" s="775"/>
      <c r="G22" s="775"/>
      <c r="H22" s="775"/>
      <c r="I22" s="775"/>
      <c r="J22" s="778"/>
      <c r="K22" s="880"/>
      <c r="L22" s="799"/>
      <c r="M22" s="811">
        <f t="shared" si="1"/>
        <v>0</v>
      </c>
      <c r="N22" s="800"/>
      <c r="O22" s="813">
        <f t="shared" si="0"/>
        <v>0</v>
      </c>
      <c r="P22" s="809"/>
      <c r="Q22" s="880"/>
      <c r="R22" s="1168" t="s">
        <v>152</v>
      </c>
      <c r="S22" s="1169"/>
      <c r="T22" s="1169"/>
      <c r="U22" s="1169"/>
      <c r="V22" s="942"/>
      <c r="W22" s="1170" t="s">
        <v>153</v>
      </c>
      <c r="X22" s="1170"/>
      <c r="Y22" s="1171"/>
      <c r="Z22" s="880"/>
      <c r="AA22" s="1181" t="s">
        <v>154</v>
      </c>
      <c r="AB22" s="1164"/>
      <c r="AC22" s="1164"/>
      <c r="AD22" s="1164" t="s">
        <v>155</v>
      </c>
      <c r="AE22" s="1164"/>
      <c r="AF22" s="1164" t="s">
        <v>156</v>
      </c>
      <c r="AG22" s="1164"/>
      <c r="AH22" s="1164" t="s">
        <v>157</v>
      </c>
      <c r="AI22" s="1164"/>
      <c r="AJ22" s="1164" t="s">
        <v>158</v>
      </c>
      <c r="AK22" s="1165"/>
    </row>
    <row r="23" spans="1:37" ht="14.25" customHeight="1" thickTop="1" x14ac:dyDescent="0.3">
      <c r="A23" s="757"/>
      <c r="B23" s="757"/>
      <c r="C23" s="760"/>
      <c r="D23" s="758"/>
      <c r="E23" s="757"/>
      <c r="F23" s="757"/>
      <c r="G23" s="757"/>
      <c r="H23" s="757"/>
      <c r="I23" s="757"/>
      <c r="J23" s="757"/>
      <c r="K23" s="880"/>
      <c r="L23" s="799"/>
      <c r="M23" s="811">
        <f t="shared" si="1"/>
        <v>0</v>
      </c>
      <c r="N23" s="800"/>
      <c r="O23" s="813">
        <f t="shared" si="0"/>
        <v>0</v>
      </c>
      <c r="P23" s="809"/>
      <c r="Q23" s="880"/>
      <c r="R23" s="1168" t="s">
        <v>159</v>
      </c>
      <c r="S23" s="1169"/>
      <c r="T23" s="1169"/>
      <c r="U23" s="1169"/>
      <c r="V23" s="942"/>
      <c r="W23" s="1170">
        <v>87</v>
      </c>
      <c r="X23" s="1170"/>
      <c r="Y23" s="1171"/>
      <c r="Z23" s="880"/>
      <c r="AA23" s="1181"/>
      <c r="AB23" s="1164"/>
      <c r="AC23" s="1164"/>
      <c r="AD23" s="1164"/>
      <c r="AE23" s="1164"/>
      <c r="AF23" s="1164"/>
      <c r="AG23" s="1164"/>
      <c r="AH23" s="1164"/>
      <c r="AI23" s="1164"/>
      <c r="AJ23" s="1164"/>
      <c r="AK23" s="1165"/>
    </row>
    <row r="24" spans="1:37" ht="14.25" customHeight="1" thickBot="1" x14ac:dyDescent="0.35">
      <c r="A24" s="757"/>
      <c r="B24" s="757"/>
      <c r="C24" s="760"/>
      <c r="D24" s="880"/>
      <c r="E24" s="966"/>
      <c r="F24" s="966"/>
      <c r="G24" s="966"/>
      <c r="H24" s="966"/>
      <c r="I24" s="966"/>
      <c r="J24" s="966"/>
      <c r="K24" s="880"/>
      <c r="L24" s="799"/>
      <c r="M24" s="811">
        <f t="shared" si="1"/>
        <v>0</v>
      </c>
      <c r="N24" s="800"/>
      <c r="O24" s="813">
        <f t="shared" si="0"/>
        <v>0</v>
      </c>
      <c r="P24" s="809"/>
      <c r="Q24" s="880"/>
      <c r="R24" s="1168" t="s">
        <v>160</v>
      </c>
      <c r="S24" s="1169"/>
      <c r="T24" s="1169"/>
      <c r="U24" s="1169"/>
      <c r="V24" s="942"/>
      <c r="W24" s="1170">
        <v>105</v>
      </c>
      <c r="X24" s="1170"/>
      <c r="Y24" s="1171"/>
      <c r="Z24" s="880"/>
      <c r="AA24" s="1166" t="s">
        <v>161</v>
      </c>
      <c r="AB24" s="1167"/>
      <c r="AC24" s="1167"/>
      <c r="AD24" s="1259" t="s">
        <v>162</v>
      </c>
      <c r="AE24" s="1259"/>
      <c r="AF24" s="1259" t="s">
        <v>163</v>
      </c>
      <c r="AG24" s="1259"/>
      <c r="AH24" s="1259" t="s">
        <v>164</v>
      </c>
      <c r="AI24" s="1259"/>
      <c r="AJ24" s="1259" t="s">
        <v>164</v>
      </c>
      <c r="AK24" s="1260"/>
    </row>
    <row r="25" spans="1:37" ht="14.25" customHeight="1" thickTop="1" x14ac:dyDescent="0.3">
      <c r="A25" s="798" t="s">
        <v>165</v>
      </c>
      <c r="B25" s="785"/>
      <c r="C25" s="786"/>
      <c r="D25" s="787"/>
      <c r="E25" s="785"/>
      <c r="F25" s="785"/>
      <c r="G25" s="785"/>
      <c r="H25" s="791"/>
      <c r="I25" s="757"/>
      <c r="J25" s="757"/>
      <c r="K25" s="880"/>
      <c r="L25" s="799"/>
      <c r="M25" s="811">
        <f t="shared" si="1"/>
        <v>0</v>
      </c>
      <c r="N25" s="800"/>
      <c r="O25" s="813">
        <f t="shared" si="0"/>
        <v>0</v>
      </c>
      <c r="P25" s="809"/>
      <c r="Q25" s="880"/>
      <c r="R25" s="1168" t="s">
        <v>166</v>
      </c>
      <c r="S25" s="1169"/>
      <c r="T25" s="1169"/>
      <c r="U25" s="1169"/>
      <c r="V25" s="942"/>
      <c r="W25" s="1170">
        <v>95</v>
      </c>
      <c r="X25" s="1170"/>
      <c r="Y25" s="1171"/>
      <c r="Z25" s="880"/>
      <c r="AA25" s="1166"/>
      <c r="AB25" s="1167"/>
      <c r="AC25" s="1167"/>
      <c r="AD25" s="1259"/>
      <c r="AE25" s="1259"/>
      <c r="AF25" s="1259"/>
      <c r="AG25" s="1259"/>
      <c r="AH25" s="1259"/>
      <c r="AI25" s="1259"/>
      <c r="AJ25" s="1259"/>
      <c r="AK25" s="1260"/>
    </row>
    <row r="26" spans="1:37" ht="14.25" customHeight="1" x14ac:dyDescent="0.3">
      <c r="A26" s="788"/>
      <c r="B26" s="789"/>
      <c r="C26" s="789"/>
      <c r="D26" s="789"/>
      <c r="E26" s="790"/>
      <c r="F26" s="1209" t="s">
        <v>167</v>
      </c>
      <c r="G26" s="1209" t="s">
        <v>168</v>
      </c>
      <c r="H26" s="792"/>
      <c r="I26" s="880"/>
      <c r="J26" s="880"/>
      <c r="K26" s="880"/>
      <c r="L26" s="799"/>
      <c r="M26" s="811">
        <f t="shared" si="1"/>
        <v>0</v>
      </c>
      <c r="N26" s="800"/>
      <c r="O26" s="813">
        <f t="shared" si="0"/>
        <v>0</v>
      </c>
      <c r="P26" s="809"/>
      <c r="Q26" s="880"/>
      <c r="R26" s="1168" t="s">
        <v>169</v>
      </c>
      <c r="S26" s="1169"/>
      <c r="T26" s="1169"/>
      <c r="U26" s="1169"/>
      <c r="V26" s="942"/>
      <c r="W26" s="1170">
        <v>84</v>
      </c>
      <c r="X26" s="1170"/>
      <c r="Y26" s="1171"/>
      <c r="Z26" s="880"/>
      <c r="AA26" s="1166"/>
      <c r="AB26" s="1167"/>
      <c r="AC26" s="1167"/>
      <c r="AD26" s="1259"/>
      <c r="AE26" s="1259"/>
      <c r="AF26" s="1259"/>
      <c r="AG26" s="1259"/>
      <c r="AH26" s="1259"/>
      <c r="AI26" s="1259"/>
      <c r="AJ26" s="1259"/>
      <c r="AK26" s="1260"/>
    </row>
    <row r="27" spans="1:37" ht="14.25" customHeight="1" thickBot="1" x14ac:dyDescent="0.35">
      <c r="A27" s="788"/>
      <c r="B27" s="789"/>
      <c r="C27" s="789"/>
      <c r="D27" s="789"/>
      <c r="E27" s="790"/>
      <c r="F27" s="1210"/>
      <c r="G27" s="1210"/>
      <c r="H27" s="792"/>
      <c r="I27" s="880"/>
      <c r="J27" s="880"/>
      <c r="K27" s="880"/>
      <c r="L27" s="799"/>
      <c r="M27" s="811">
        <f t="shared" si="1"/>
        <v>0</v>
      </c>
      <c r="N27" s="800"/>
      <c r="O27" s="813">
        <f t="shared" si="0"/>
        <v>0</v>
      </c>
      <c r="P27" s="809"/>
      <c r="Q27" s="880"/>
      <c r="R27" s="1168" t="s">
        <v>170</v>
      </c>
      <c r="S27" s="1169"/>
      <c r="T27" s="1169"/>
      <c r="U27" s="1169"/>
      <c r="V27" s="942"/>
      <c r="W27" s="1170" t="s">
        <v>171</v>
      </c>
      <c r="X27" s="1170"/>
      <c r="Y27" s="1171"/>
      <c r="Z27" s="880"/>
      <c r="AA27" s="1166"/>
      <c r="AB27" s="1167"/>
      <c r="AC27" s="1167"/>
      <c r="AD27" s="1259"/>
      <c r="AE27" s="1259"/>
      <c r="AF27" s="1259"/>
      <c r="AG27" s="1259"/>
      <c r="AH27" s="1259"/>
      <c r="AI27" s="1259"/>
      <c r="AJ27" s="1259"/>
      <c r="AK27" s="1260"/>
    </row>
    <row r="28" spans="1:37" ht="14.25" customHeight="1" thickBot="1" x14ac:dyDescent="0.35">
      <c r="A28" s="1206" t="s">
        <v>172</v>
      </c>
      <c r="B28" s="1207"/>
      <c r="C28" s="1207"/>
      <c r="D28" s="1207"/>
      <c r="E28" s="1208"/>
      <c r="F28" s="796">
        <f>IF(C20="Hard",6,IF(C20="Soft",7.5,))</f>
        <v>0</v>
      </c>
      <c r="G28" s="797">
        <f>IF(C20="Hard",3,IF(C20="Soft",4.5,))</f>
        <v>0</v>
      </c>
      <c r="H28" s="792"/>
      <c r="I28" s="880"/>
      <c r="J28" s="880"/>
      <c r="K28" s="880"/>
      <c r="L28" s="799"/>
      <c r="M28" s="811">
        <f t="shared" si="1"/>
        <v>0</v>
      </c>
      <c r="N28" s="800"/>
      <c r="O28" s="813">
        <f t="shared" si="0"/>
        <v>0</v>
      </c>
      <c r="P28" s="809"/>
      <c r="Q28" s="880"/>
      <c r="R28" s="1168" t="s">
        <v>173</v>
      </c>
      <c r="S28" s="1169"/>
      <c r="T28" s="1169"/>
      <c r="U28" s="1169"/>
      <c r="V28" s="942"/>
      <c r="W28" s="1170">
        <v>74</v>
      </c>
      <c r="X28" s="1170"/>
      <c r="Y28" s="1171"/>
      <c r="Z28" s="880"/>
      <c r="AA28" s="1166" t="s">
        <v>174</v>
      </c>
      <c r="AB28" s="1167"/>
      <c r="AC28" s="1167"/>
      <c r="AD28" s="1259" t="s">
        <v>162</v>
      </c>
      <c r="AE28" s="1259"/>
      <c r="AF28" s="1259" t="s">
        <v>175</v>
      </c>
      <c r="AG28" s="1259"/>
      <c r="AH28" s="1259" t="s">
        <v>164</v>
      </c>
      <c r="AI28" s="1259"/>
      <c r="AJ28" s="1259" t="s">
        <v>164</v>
      </c>
      <c r="AK28" s="1260"/>
    </row>
    <row r="29" spans="1:37" ht="14.25" customHeight="1" thickBot="1" x14ac:dyDescent="0.35">
      <c r="A29" s="898"/>
      <c r="B29" s="899"/>
      <c r="C29" s="899"/>
      <c r="D29" s="899"/>
      <c r="E29" s="899"/>
      <c r="F29" s="914" t="e">
        <f>$F$11*10^(($F$7-$F$15)/(IF($C$20="Hard",20,IF($C$20="Soft",25,))))</f>
        <v>#DIV/0!</v>
      </c>
      <c r="G29" s="915">
        <f>G11</f>
        <v>0</v>
      </c>
      <c r="H29" s="792"/>
      <c r="I29" s="880"/>
      <c r="J29" s="880"/>
      <c r="K29" s="880"/>
      <c r="L29" s="799"/>
      <c r="M29" s="811">
        <f t="shared" si="1"/>
        <v>0</v>
      </c>
      <c r="N29" s="800"/>
      <c r="O29" s="813">
        <f t="shared" si="0"/>
        <v>0</v>
      </c>
      <c r="P29" s="809"/>
      <c r="Q29" s="880"/>
      <c r="R29" s="1168" t="s">
        <v>176</v>
      </c>
      <c r="S29" s="1169"/>
      <c r="T29" s="1169"/>
      <c r="U29" s="1169"/>
      <c r="V29" s="942"/>
      <c r="W29" s="1170">
        <v>93</v>
      </c>
      <c r="X29" s="1170"/>
      <c r="Y29" s="1171"/>
      <c r="Z29" s="880"/>
      <c r="AA29" s="1166"/>
      <c r="AB29" s="1167"/>
      <c r="AC29" s="1167"/>
      <c r="AD29" s="1259"/>
      <c r="AE29" s="1259"/>
      <c r="AF29" s="1259"/>
      <c r="AG29" s="1259"/>
      <c r="AH29" s="1259"/>
      <c r="AI29" s="1259"/>
      <c r="AJ29" s="1259"/>
      <c r="AK29" s="1260"/>
    </row>
    <row r="30" spans="1:37" ht="14.25" customHeight="1" thickTop="1" thickBot="1" x14ac:dyDescent="0.35">
      <c r="A30" s="788"/>
      <c r="B30" s="789"/>
      <c r="C30" s="789"/>
      <c r="D30" s="789"/>
      <c r="E30" s="789"/>
      <c r="F30" s="789"/>
      <c r="G30" s="871" t="s">
        <v>116</v>
      </c>
      <c r="H30" s="792"/>
      <c r="I30" s="880"/>
      <c r="J30" s="880"/>
      <c r="K30" s="880"/>
      <c r="L30" s="799"/>
      <c r="M30" s="811">
        <f t="shared" si="1"/>
        <v>0</v>
      </c>
      <c r="N30" s="800"/>
      <c r="O30" s="813">
        <f t="shared" si="0"/>
        <v>0</v>
      </c>
      <c r="P30" s="809"/>
      <c r="Q30" s="880"/>
      <c r="R30" s="1168" t="s">
        <v>177</v>
      </c>
      <c r="S30" s="1169"/>
      <c r="T30" s="1169"/>
      <c r="U30" s="1169"/>
      <c r="V30" s="942"/>
      <c r="W30" s="1170">
        <v>82</v>
      </c>
      <c r="X30" s="1170"/>
      <c r="Y30" s="1171"/>
      <c r="Z30" s="880"/>
      <c r="AA30" s="1276" t="s">
        <v>178</v>
      </c>
      <c r="AB30" s="1277"/>
      <c r="AC30" s="1278"/>
      <c r="AD30" s="1261" t="s">
        <v>162</v>
      </c>
      <c r="AE30" s="1285"/>
      <c r="AF30" s="1261" t="s">
        <v>179</v>
      </c>
      <c r="AG30" s="1285"/>
      <c r="AH30" s="1261" t="s">
        <v>180</v>
      </c>
      <c r="AI30" s="1285"/>
      <c r="AJ30" s="1261" t="s">
        <v>181</v>
      </c>
      <c r="AK30" s="1262"/>
    </row>
    <row r="31" spans="1:37" ht="14.25" customHeight="1" thickTop="1" thickBot="1" x14ac:dyDescent="0.35">
      <c r="A31" s="1196" t="s">
        <v>182</v>
      </c>
      <c r="B31" s="1197"/>
      <c r="C31" s="1197"/>
      <c r="D31" s="1197"/>
      <c r="E31" s="1211" t="e">
        <f>IF(G29="m",(F29),(F29*0.3048))</f>
        <v>#DIV/0!</v>
      </c>
      <c r="F31" s="1212"/>
      <c r="G31" s="909" t="s">
        <v>183</v>
      </c>
      <c r="H31" s="792"/>
      <c r="I31" s="880"/>
      <c r="J31" s="880"/>
      <c r="K31" s="880"/>
      <c r="L31" s="803"/>
      <c r="M31" s="806"/>
      <c r="N31" s="806"/>
      <c r="O31" s="806"/>
      <c r="P31" s="810"/>
      <c r="Q31" s="880"/>
      <c r="R31" s="1168" t="s">
        <v>184</v>
      </c>
      <c r="S31" s="1169"/>
      <c r="T31" s="1169"/>
      <c r="U31" s="1169"/>
      <c r="V31" s="942"/>
      <c r="W31" s="1170">
        <v>103</v>
      </c>
      <c r="X31" s="1170"/>
      <c r="Y31" s="1171"/>
      <c r="Z31" s="880"/>
      <c r="AA31" s="1279"/>
      <c r="AB31" s="1280"/>
      <c r="AC31" s="1281"/>
      <c r="AD31" s="1263"/>
      <c r="AE31" s="1286"/>
      <c r="AF31" s="1263"/>
      <c r="AG31" s="1286"/>
      <c r="AH31" s="1263"/>
      <c r="AI31" s="1286"/>
      <c r="AJ31" s="1263"/>
      <c r="AK31" s="1264"/>
    </row>
    <row r="32" spans="1:37" ht="14.25" customHeight="1" thickTop="1" x14ac:dyDescent="0.3">
      <c r="A32" s="1198"/>
      <c r="B32" s="1199"/>
      <c r="C32" s="1199"/>
      <c r="D32" s="1199"/>
      <c r="E32" s="1204" t="e">
        <f>E31/1000</f>
        <v>#DIV/0!</v>
      </c>
      <c r="F32" s="1205"/>
      <c r="G32" s="910" t="s">
        <v>185</v>
      </c>
      <c r="H32" s="792"/>
      <c r="I32" s="900"/>
      <c r="J32" s="880"/>
      <c r="K32" s="880"/>
      <c r="M32" s="880"/>
      <c r="O32" s="880"/>
      <c r="Q32" s="880"/>
      <c r="R32" s="1168" t="s">
        <v>186</v>
      </c>
      <c r="S32" s="1169"/>
      <c r="T32" s="1169"/>
      <c r="U32" s="1169"/>
      <c r="V32" s="942"/>
      <c r="W32" s="1170">
        <v>92</v>
      </c>
      <c r="X32" s="1170"/>
      <c r="Y32" s="1171"/>
      <c r="Z32" s="880"/>
      <c r="AA32" s="1279"/>
      <c r="AB32" s="1280"/>
      <c r="AC32" s="1281"/>
      <c r="AD32" s="1263"/>
      <c r="AE32" s="1286"/>
      <c r="AF32" s="1263"/>
      <c r="AG32" s="1286"/>
      <c r="AH32" s="1263"/>
      <c r="AI32" s="1286"/>
      <c r="AJ32" s="1263"/>
      <c r="AK32" s="1264"/>
    </row>
    <row r="33" spans="1:37" ht="14.25" customHeight="1" x14ac:dyDescent="0.3">
      <c r="A33" s="1198"/>
      <c r="B33" s="1199"/>
      <c r="C33" s="1199"/>
      <c r="D33" s="1199"/>
      <c r="E33" s="1204" t="e">
        <f>IF(G29="ft",(F29),(F29*3.281))</f>
        <v>#DIV/0!</v>
      </c>
      <c r="F33" s="1205"/>
      <c r="G33" s="910" t="s">
        <v>187</v>
      </c>
      <c r="H33" s="792"/>
      <c r="I33" s="900"/>
      <c r="J33" s="880"/>
      <c r="K33" s="880"/>
      <c r="M33" s="880"/>
      <c r="O33" s="880"/>
      <c r="Q33" s="880"/>
      <c r="R33" s="1168" t="s">
        <v>188</v>
      </c>
      <c r="S33" s="1169"/>
      <c r="T33" s="1169"/>
      <c r="U33" s="1169"/>
      <c r="V33" s="942"/>
      <c r="W33" s="1170">
        <v>96</v>
      </c>
      <c r="X33" s="1170"/>
      <c r="Y33" s="1171"/>
      <c r="Z33" s="880"/>
      <c r="AA33" s="1279"/>
      <c r="AB33" s="1280"/>
      <c r="AC33" s="1281"/>
      <c r="AD33" s="1263"/>
      <c r="AE33" s="1286"/>
      <c r="AF33" s="1263"/>
      <c r="AG33" s="1286"/>
      <c r="AH33" s="1263"/>
      <c r="AI33" s="1286"/>
      <c r="AJ33" s="1263"/>
      <c r="AK33" s="1264"/>
    </row>
    <row r="34" spans="1:37" ht="14.25" customHeight="1" thickBot="1" x14ac:dyDescent="0.35">
      <c r="A34" s="1200"/>
      <c r="B34" s="1201"/>
      <c r="C34" s="1201"/>
      <c r="D34" s="1201"/>
      <c r="E34" s="1202" t="e">
        <f>E33/5280</f>
        <v>#DIV/0!</v>
      </c>
      <c r="F34" s="1203"/>
      <c r="G34" s="911" t="s">
        <v>189</v>
      </c>
      <c r="H34" s="792"/>
      <c r="I34" s="758"/>
      <c r="J34" s="880"/>
      <c r="K34" s="880"/>
      <c r="M34" s="880"/>
      <c r="O34" s="880"/>
      <c r="Q34" s="880"/>
      <c r="R34" s="1168" t="s">
        <v>190</v>
      </c>
      <c r="S34" s="1169"/>
      <c r="T34" s="1169"/>
      <c r="U34" s="1169"/>
      <c r="V34" s="942"/>
      <c r="W34" s="1170">
        <v>84</v>
      </c>
      <c r="X34" s="1170"/>
      <c r="Y34" s="1171"/>
      <c r="Z34" s="880"/>
      <c r="AA34" s="1282"/>
      <c r="AB34" s="1283"/>
      <c r="AC34" s="1284"/>
      <c r="AD34" s="1265"/>
      <c r="AE34" s="1287"/>
      <c r="AF34" s="1265"/>
      <c r="AG34" s="1287"/>
      <c r="AH34" s="1265"/>
      <c r="AI34" s="1287"/>
      <c r="AJ34" s="1265"/>
      <c r="AK34" s="1266"/>
    </row>
    <row r="35" spans="1:37" ht="14.25" customHeight="1" thickTop="1" thickBot="1" x14ac:dyDescent="0.35">
      <c r="A35" s="794"/>
      <c r="B35" s="795"/>
      <c r="C35" s="795"/>
      <c r="D35" s="795"/>
      <c r="E35" s="795"/>
      <c r="F35" s="795"/>
      <c r="G35" s="795"/>
      <c r="H35" s="793"/>
      <c r="I35" s="758"/>
      <c r="J35" s="880"/>
      <c r="K35" s="880"/>
      <c r="M35" s="880"/>
      <c r="O35" s="880"/>
      <c r="Q35" s="880"/>
      <c r="R35" s="1168" t="s">
        <v>191</v>
      </c>
      <c r="S35" s="1169"/>
      <c r="T35" s="1169"/>
      <c r="U35" s="1169"/>
      <c r="V35" s="942"/>
      <c r="W35" s="1170">
        <v>87</v>
      </c>
      <c r="X35" s="1170"/>
      <c r="Y35" s="1171"/>
      <c r="Z35" s="880"/>
      <c r="AA35" s="1166" t="s">
        <v>192</v>
      </c>
      <c r="AB35" s="1167"/>
      <c r="AC35" s="1167"/>
      <c r="AD35" s="1259" t="s">
        <v>162</v>
      </c>
      <c r="AE35" s="1259"/>
      <c r="AF35" s="1259" t="s">
        <v>179</v>
      </c>
      <c r="AG35" s="1259"/>
      <c r="AH35" s="1259" t="s">
        <v>193</v>
      </c>
      <c r="AI35" s="1259"/>
      <c r="AJ35" s="1259" t="s">
        <v>164</v>
      </c>
      <c r="AK35" s="1260"/>
    </row>
    <row r="36" spans="1:37" ht="14.25" customHeight="1" thickTop="1" x14ac:dyDescent="0.3">
      <c r="A36" s="880"/>
      <c r="B36" s="880"/>
      <c r="C36" s="880"/>
      <c r="D36" s="880"/>
      <c r="E36" s="880"/>
      <c r="F36" s="880"/>
      <c r="G36" s="425"/>
      <c r="H36" s="758"/>
      <c r="I36" s="758"/>
      <c r="J36" s="880"/>
      <c r="K36" s="880"/>
      <c r="M36" s="880"/>
      <c r="O36" s="880"/>
      <c r="Q36" s="880"/>
      <c r="R36" s="1168" t="s">
        <v>194</v>
      </c>
      <c r="S36" s="1169"/>
      <c r="T36" s="1169"/>
      <c r="U36" s="1169"/>
      <c r="V36" s="942"/>
      <c r="W36" s="1170">
        <v>80</v>
      </c>
      <c r="X36" s="1170"/>
      <c r="Y36" s="1171"/>
      <c r="Z36" s="880"/>
      <c r="AA36" s="1166"/>
      <c r="AB36" s="1167"/>
      <c r="AC36" s="1167"/>
      <c r="AD36" s="1259"/>
      <c r="AE36" s="1259"/>
      <c r="AF36" s="1259"/>
      <c r="AG36" s="1259"/>
      <c r="AH36" s="1259"/>
      <c r="AI36" s="1259"/>
      <c r="AJ36" s="1259"/>
      <c r="AK36" s="1260"/>
    </row>
    <row r="37" spans="1:37" ht="14.25" customHeight="1" x14ac:dyDescent="0.3">
      <c r="A37" s="943"/>
      <c r="B37" s="761" t="s">
        <v>195</v>
      </c>
      <c r="C37" s="916" t="s">
        <v>183</v>
      </c>
      <c r="D37" s="880"/>
      <c r="E37" s="880"/>
      <c r="F37" s="880"/>
      <c r="G37" s="425"/>
      <c r="H37" s="758"/>
      <c r="I37" s="880"/>
      <c r="J37" s="880"/>
      <c r="K37" s="880"/>
      <c r="M37" s="880"/>
      <c r="O37" s="880"/>
      <c r="Q37" s="880"/>
      <c r="R37" s="1253" t="s">
        <v>196</v>
      </c>
      <c r="S37" s="1254"/>
      <c r="T37" s="1254"/>
      <c r="U37" s="1254"/>
      <c r="V37" s="942"/>
      <c r="W37" s="1255">
        <v>105</v>
      </c>
      <c r="X37" s="1255"/>
      <c r="Y37" s="1256"/>
      <c r="Z37" s="880"/>
      <c r="AA37" s="1166"/>
      <c r="AB37" s="1167"/>
      <c r="AC37" s="1167"/>
      <c r="AD37" s="1259"/>
      <c r="AE37" s="1259"/>
      <c r="AF37" s="1259"/>
      <c r="AG37" s="1259"/>
      <c r="AH37" s="1259"/>
      <c r="AI37" s="1259"/>
      <c r="AJ37" s="1259"/>
      <c r="AK37" s="1260"/>
    </row>
    <row r="38" spans="1:37" ht="14.25" customHeight="1" thickBot="1" x14ac:dyDescent="0.35">
      <c r="A38" s="948"/>
      <c r="B38" s="917" t="s">
        <v>197</v>
      </c>
      <c r="C38" s="917" t="s">
        <v>187</v>
      </c>
      <c r="D38" s="758"/>
      <c r="E38" s="758"/>
      <c r="F38" s="758"/>
      <c r="G38" s="758"/>
      <c r="H38" s="758"/>
      <c r="I38" s="880"/>
      <c r="J38" s="880"/>
      <c r="K38" s="880"/>
      <c r="M38" s="880"/>
      <c r="O38" s="880"/>
      <c r="Q38" s="880"/>
      <c r="R38" s="816" t="s">
        <v>137</v>
      </c>
      <c r="S38" s="814"/>
      <c r="T38" s="814"/>
      <c r="U38" s="814"/>
      <c r="V38" s="814"/>
      <c r="W38" s="814"/>
      <c r="X38" s="814"/>
      <c r="Y38" s="815"/>
      <c r="Z38" s="880"/>
      <c r="AA38" s="1166"/>
      <c r="AB38" s="1167"/>
      <c r="AC38" s="1167"/>
      <c r="AD38" s="1259"/>
      <c r="AE38" s="1259"/>
      <c r="AF38" s="1259"/>
      <c r="AG38" s="1259"/>
      <c r="AH38" s="1259"/>
      <c r="AI38" s="1259"/>
      <c r="AJ38" s="1259"/>
      <c r="AK38" s="1260"/>
    </row>
    <row r="39" spans="1:37" ht="14.25" customHeight="1" thickTop="1" x14ac:dyDescent="0.3">
      <c r="A39" s="943"/>
      <c r="B39" s="917" t="s">
        <v>198</v>
      </c>
      <c r="C39" s="917" t="s">
        <v>185</v>
      </c>
      <c r="D39" s="880"/>
      <c r="E39" s="880"/>
      <c r="F39" s="880"/>
      <c r="G39" s="880"/>
      <c r="H39" s="880"/>
      <c r="I39" s="880"/>
      <c r="J39" s="880"/>
      <c r="K39" s="880"/>
      <c r="M39" s="880"/>
      <c r="O39" s="880"/>
      <c r="Q39" s="880"/>
      <c r="R39" s="880"/>
      <c r="S39" s="880"/>
      <c r="T39" s="880"/>
      <c r="U39" s="880"/>
      <c r="V39" s="880"/>
      <c r="W39" s="880"/>
      <c r="X39" s="880"/>
      <c r="Y39" s="880"/>
      <c r="Z39" s="880"/>
      <c r="AA39" s="1166" t="s">
        <v>199</v>
      </c>
      <c r="AB39" s="1167"/>
      <c r="AC39" s="1167"/>
      <c r="AD39" s="1259" t="s">
        <v>162</v>
      </c>
      <c r="AE39" s="1259"/>
      <c r="AF39" s="1259" t="s">
        <v>200</v>
      </c>
      <c r="AG39" s="1259"/>
      <c r="AH39" s="1259" t="s">
        <v>201</v>
      </c>
      <c r="AI39" s="1259"/>
      <c r="AJ39" s="1259" t="s">
        <v>202</v>
      </c>
      <c r="AK39" s="1260"/>
    </row>
    <row r="40" spans="1:37" ht="14.25" customHeight="1" x14ac:dyDescent="0.3">
      <c r="A40" s="943"/>
      <c r="B40" s="916" t="s">
        <v>203</v>
      </c>
      <c r="C40" s="916" t="s">
        <v>189</v>
      </c>
      <c r="D40" s="880"/>
      <c r="E40" s="880"/>
      <c r="F40" s="880"/>
      <c r="G40" s="880"/>
      <c r="H40" s="880"/>
      <c r="I40" s="880"/>
      <c r="J40" s="880"/>
      <c r="K40" s="880"/>
      <c r="M40" s="880"/>
      <c r="O40" s="880"/>
      <c r="Q40" s="880"/>
      <c r="R40" s="880"/>
      <c r="S40" s="880"/>
      <c r="T40" s="880"/>
      <c r="U40" s="880"/>
      <c r="V40" s="880"/>
      <c r="W40" s="880"/>
      <c r="X40" s="880"/>
      <c r="Y40" s="880"/>
      <c r="Z40" s="880"/>
      <c r="AA40" s="1166"/>
      <c r="AB40" s="1167"/>
      <c r="AC40" s="1167"/>
      <c r="AD40" s="1259"/>
      <c r="AE40" s="1259"/>
      <c r="AF40" s="1259"/>
      <c r="AG40" s="1259"/>
      <c r="AH40" s="1259"/>
      <c r="AI40" s="1259"/>
      <c r="AJ40" s="1259"/>
      <c r="AK40" s="1260"/>
    </row>
    <row r="41" spans="1:37" ht="15" customHeight="1" x14ac:dyDescent="0.3">
      <c r="A41" s="943"/>
      <c r="B41" s="761" t="s">
        <v>204</v>
      </c>
      <c r="C41" s="761" t="s">
        <v>205</v>
      </c>
      <c r="D41" s="880"/>
      <c r="E41" s="880"/>
      <c r="F41" s="880"/>
      <c r="G41" s="880"/>
      <c r="H41" s="880"/>
      <c r="I41" s="880"/>
      <c r="J41" s="880"/>
      <c r="K41" s="880"/>
      <c r="M41" s="880"/>
      <c r="O41" s="880"/>
      <c r="Q41" s="880"/>
      <c r="R41" s="880"/>
      <c r="S41" s="880"/>
      <c r="T41" s="880"/>
      <c r="U41" s="880"/>
      <c r="V41" s="880"/>
      <c r="W41" s="880"/>
      <c r="X41" s="880"/>
      <c r="Y41" s="880"/>
      <c r="Z41" s="880"/>
      <c r="AA41" s="1166" t="s">
        <v>206</v>
      </c>
      <c r="AB41" s="1167"/>
      <c r="AC41" s="1167"/>
      <c r="AD41" s="1259" t="s">
        <v>162</v>
      </c>
      <c r="AE41" s="1259"/>
      <c r="AF41" s="1259" t="s">
        <v>200</v>
      </c>
      <c r="AG41" s="1259"/>
      <c r="AH41" s="1259" t="s">
        <v>201</v>
      </c>
      <c r="AI41" s="1259"/>
      <c r="AJ41" s="1259" t="s">
        <v>207</v>
      </c>
      <c r="AK41" s="1260"/>
    </row>
    <row r="42" spans="1:37" ht="15" customHeight="1" x14ac:dyDescent="0.3">
      <c r="A42" s="943"/>
      <c r="B42" s="761"/>
      <c r="C42" s="761"/>
      <c r="D42" s="880"/>
      <c r="E42" s="880"/>
      <c r="F42" s="880"/>
      <c r="G42" s="880"/>
      <c r="H42" s="880"/>
      <c r="I42" s="880"/>
      <c r="J42" s="880"/>
      <c r="K42" s="880"/>
      <c r="M42" s="880"/>
      <c r="O42" s="880"/>
      <c r="Q42" s="880"/>
      <c r="R42" s="880"/>
      <c r="S42" s="880"/>
      <c r="T42" s="880"/>
      <c r="U42" s="880"/>
      <c r="V42" s="880"/>
      <c r="W42" s="880"/>
      <c r="X42" s="880"/>
      <c r="Y42" s="880"/>
      <c r="Z42" s="880"/>
      <c r="AA42" s="1166"/>
      <c r="AB42" s="1167"/>
      <c r="AC42" s="1167"/>
      <c r="AD42" s="1259"/>
      <c r="AE42" s="1259"/>
      <c r="AF42" s="1259"/>
      <c r="AG42" s="1259"/>
      <c r="AH42" s="1259"/>
      <c r="AI42" s="1259"/>
      <c r="AJ42" s="1259"/>
      <c r="AK42" s="1260"/>
    </row>
    <row r="43" spans="1:37" x14ac:dyDescent="0.3">
      <c r="A43" s="943"/>
      <c r="B43" s="761" t="s">
        <v>208</v>
      </c>
      <c r="C43" s="761" t="s">
        <v>209</v>
      </c>
      <c r="D43" s="880"/>
      <c r="E43" s="880"/>
      <c r="F43" s="880"/>
      <c r="G43" s="880"/>
      <c r="H43" s="880"/>
      <c r="I43" s="880"/>
      <c r="J43" s="880"/>
      <c r="K43" s="880"/>
      <c r="M43" s="880"/>
      <c r="O43" s="880"/>
      <c r="Q43" s="880"/>
      <c r="R43" s="880"/>
      <c r="S43" s="880"/>
      <c r="T43" s="880"/>
      <c r="U43" s="880"/>
      <c r="V43" s="880"/>
      <c r="W43" s="880"/>
      <c r="X43" s="880"/>
      <c r="Y43" s="880"/>
      <c r="Z43" s="880"/>
      <c r="AA43" s="1166"/>
      <c r="AB43" s="1167"/>
      <c r="AC43" s="1167"/>
      <c r="AD43" s="1259"/>
      <c r="AE43" s="1259"/>
      <c r="AF43" s="1259"/>
      <c r="AG43" s="1259"/>
      <c r="AH43" s="1259"/>
      <c r="AI43" s="1259"/>
      <c r="AJ43" s="1259"/>
      <c r="AK43" s="1260"/>
    </row>
    <row r="44" spans="1:37" x14ac:dyDescent="0.3">
      <c r="A44" s="943"/>
      <c r="B44" s="943"/>
      <c r="C44" s="943"/>
      <c r="D44" s="880"/>
      <c r="E44" s="880"/>
      <c r="F44" s="880"/>
      <c r="G44" s="880"/>
      <c r="H44" s="880"/>
      <c r="I44" s="880"/>
      <c r="J44" s="880"/>
      <c r="K44" s="880"/>
      <c r="M44" s="880"/>
      <c r="O44" s="880"/>
      <c r="Q44" s="880"/>
      <c r="R44" s="880"/>
      <c r="S44" s="880"/>
      <c r="T44" s="880"/>
      <c r="U44" s="880"/>
      <c r="V44" s="880"/>
      <c r="W44" s="880"/>
      <c r="X44" s="880"/>
      <c r="Y44" s="880"/>
      <c r="Z44" s="880"/>
      <c r="AA44" s="1166" t="s">
        <v>124</v>
      </c>
      <c r="AB44" s="1167"/>
      <c r="AC44" s="1167"/>
      <c r="AD44" s="1259" t="s">
        <v>210</v>
      </c>
      <c r="AE44" s="1259"/>
      <c r="AF44" s="1259" t="s">
        <v>211</v>
      </c>
      <c r="AG44" s="1259"/>
      <c r="AH44" s="1259" t="s">
        <v>175</v>
      </c>
      <c r="AI44" s="1259"/>
      <c r="AJ44" s="1259" t="s">
        <v>212</v>
      </c>
      <c r="AK44" s="1260"/>
    </row>
    <row r="45" spans="1:37" x14ac:dyDescent="0.3">
      <c r="A45" s="880"/>
      <c r="B45" s="880"/>
      <c r="C45" s="880"/>
      <c r="D45" s="880"/>
      <c r="E45" s="880"/>
      <c r="F45" s="880"/>
      <c r="G45" s="880"/>
      <c r="H45" s="880"/>
      <c r="I45" s="880"/>
      <c r="J45" s="880"/>
      <c r="K45" s="880"/>
      <c r="M45" s="880"/>
      <c r="O45" s="880"/>
      <c r="Q45" s="880"/>
      <c r="R45" s="880"/>
      <c r="S45" s="880"/>
      <c r="T45" s="880"/>
      <c r="U45" s="880"/>
      <c r="V45" s="880"/>
      <c r="W45" s="880"/>
      <c r="X45" s="880"/>
      <c r="Y45" s="880"/>
      <c r="Z45" s="880"/>
      <c r="AA45" s="1166"/>
      <c r="AB45" s="1167"/>
      <c r="AC45" s="1167"/>
      <c r="AD45" s="1259"/>
      <c r="AE45" s="1259"/>
      <c r="AF45" s="1259"/>
      <c r="AG45" s="1259"/>
      <c r="AH45" s="1259"/>
      <c r="AI45" s="1259"/>
      <c r="AJ45" s="1259"/>
      <c r="AK45" s="1260"/>
    </row>
    <row r="46" spans="1:37" x14ac:dyDescent="0.3">
      <c r="A46" s="880"/>
      <c r="B46" s="880"/>
      <c r="C46" s="880"/>
      <c r="D46" s="880"/>
      <c r="E46" s="880"/>
      <c r="F46" s="880"/>
      <c r="G46" s="880"/>
      <c r="H46" s="880"/>
      <c r="I46" s="880"/>
      <c r="J46" s="880"/>
      <c r="K46" s="880"/>
      <c r="M46" s="880"/>
      <c r="O46" s="880"/>
      <c r="Q46" s="880"/>
      <c r="R46" s="880"/>
      <c r="S46" s="880"/>
      <c r="T46" s="880"/>
      <c r="U46" s="880"/>
      <c r="V46" s="880"/>
      <c r="W46" s="880"/>
      <c r="X46" s="880"/>
      <c r="Y46" s="880"/>
      <c r="Z46" s="880"/>
      <c r="AA46" s="1166" t="s">
        <v>213</v>
      </c>
      <c r="AB46" s="1167"/>
      <c r="AC46" s="1167"/>
      <c r="AD46" s="1259" t="s">
        <v>214</v>
      </c>
      <c r="AE46" s="1259"/>
      <c r="AF46" s="1259" t="s">
        <v>215</v>
      </c>
      <c r="AG46" s="1259"/>
      <c r="AH46" s="1259" t="s">
        <v>216</v>
      </c>
      <c r="AI46" s="1259"/>
      <c r="AJ46" s="1259" t="s">
        <v>217</v>
      </c>
      <c r="AK46" s="1260"/>
    </row>
    <row r="47" spans="1:37" x14ac:dyDescent="0.3">
      <c r="A47" s="880"/>
      <c r="B47" s="880"/>
      <c r="C47" s="880"/>
      <c r="D47" s="880"/>
      <c r="E47" s="880"/>
      <c r="F47" s="880"/>
      <c r="G47" s="880"/>
      <c r="H47" s="880"/>
      <c r="I47" s="880"/>
      <c r="J47" s="880"/>
      <c r="K47" s="880"/>
      <c r="M47" s="880"/>
      <c r="O47" s="880"/>
      <c r="Q47" s="880"/>
      <c r="R47" s="880"/>
      <c r="S47" s="880"/>
      <c r="T47" s="880"/>
      <c r="U47" s="880"/>
      <c r="V47" s="880"/>
      <c r="W47" s="880"/>
      <c r="X47" s="880"/>
      <c r="Y47" s="880"/>
      <c r="Z47" s="880"/>
      <c r="AA47" s="1166"/>
      <c r="AB47" s="1167"/>
      <c r="AC47" s="1167"/>
      <c r="AD47" s="1259"/>
      <c r="AE47" s="1259"/>
      <c r="AF47" s="1259"/>
      <c r="AG47" s="1259"/>
      <c r="AH47" s="1259"/>
      <c r="AI47" s="1259"/>
      <c r="AJ47" s="1259"/>
      <c r="AK47" s="1260"/>
    </row>
    <row r="48" spans="1:37" ht="14.1" customHeight="1" x14ac:dyDescent="0.3">
      <c r="A48" s="880"/>
      <c r="B48" s="880"/>
      <c r="C48" s="880"/>
      <c r="D48" s="880"/>
      <c r="E48" s="880"/>
      <c r="F48" s="880"/>
      <c r="G48" s="880"/>
      <c r="H48" s="880"/>
      <c r="I48" s="880"/>
      <c r="J48" s="880"/>
      <c r="K48" s="880"/>
      <c r="M48" s="880"/>
      <c r="O48" s="880"/>
      <c r="Q48" s="880"/>
      <c r="R48" s="880"/>
      <c r="S48" s="880"/>
      <c r="T48" s="880"/>
      <c r="U48" s="880"/>
      <c r="V48" s="880"/>
      <c r="W48" s="880"/>
      <c r="X48" s="880"/>
      <c r="Y48" s="880"/>
      <c r="Z48" s="880"/>
      <c r="AA48" s="1166" t="s">
        <v>218</v>
      </c>
      <c r="AB48" s="1167"/>
      <c r="AC48" s="1167"/>
      <c r="AD48" s="1259" t="s">
        <v>162</v>
      </c>
      <c r="AE48" s="1259"/>
      <c r="AF48" s="1259" t="s">
        <v>219</v>
      </c>
      <c r="AG48" s="1259"/>
      <c r="AH48" s="1259" t="s">
        <v>220</v>
      </c>
      <c r="AI48" s="1259"/>
      <c r="AJ48" s="1261" t="s">
        <v>221</v>
      </c>
      <c r="AK48" s="1262"/>
    </row>
    <row r="49" spans="27:37" x14ac:dyDescent="0.3">
      <c r="AA49" s="1166"/>
      <c r="AB49" s="1167"/>
      <c r="AC49" s="1167"/>
      <c r="AD49" s="1259"/>
      <c r="AE49" s="1259"/>
      <c r="AF49" s="1259"/>
      <c r="AG49" s="1259"/>
      <c r="AH49" s="1259"/>
      <c r="AI49" s="1259"/>
      <c r="AJ49" s="1263"/>
      <c r="AK49" s="1264"/>
    </row>
    <row r="50" spans="27:37" x14ac:dyDescent="0.3">
      <c r="AA50" s="1166"/>
      <c r="AB50" s="1167"/>
      <c r="AC50" s="1167"/>
      <c r="AD50" s="1259"/>
      <c r="AE50" s="1259"/>
      <c r="AF50" s="1259"/>
      <c r="AG50" s="1259"/>
      <c r="AH50" s="1259"/>
      <c r="AI50" s="1259"/>
      <c r="AJ50" s="1265"/>
      <c r="AK50" s="1266"/>
    </row>
    <row r="51" spans="27:37" x14ac:dyDescent="0.3">
      <c r="AA51" s="1257" t="s">
        <v>222</v>
      </c>
      <c r="AB51" s="1258"/>
      <c r="AC51" s="1258"/>
      <c r="AD51" s="1259" t="s">
        <v>162</v>
      </c>
      <c r="AE51" s="1259"/>
      <c r="AF51" s="1259" t="s">
        <v>179</v>
      </c>
      <c r="AG51" s="1259"/>
      <c r="AH51" s="1259" t="s">
        <v>193</v>
      </c>
      <c r="AI51" s="1259"/>
      <c r="AJ51" s="1259" t="s">
        <v>221</v>
      </c>
      <c r="AK51" s="1260"/>
    </row>
    <row r="52" spans="27:37" x14ac:dyDescent="0.3">
      <c r="AA52" s="1257"/>
      <c r="AB52" s="1258"/>
      <c r="AC52" s="1258"/>
      <c r="AD52" s="1259"/>
      <c r="AE52" s="1259"/>
      <c r="AF52" s="1259"/>
      <c r="AG52" s="1259"/>
      <c r="AH52" s="1259"/>
      <c r="AI52" s="1259"/>
      <c r="AJ52" s="1259"/>
      <c r="AK52" s="1260"/>
    </row>
    <row r="53" spans="27:37" x14ac:dyDescent="0.3">
      <c r="AA53" s="1257" t="s">
        <v>223</v>
      </c>
      <c r="AB53" s="1258"/>
      <c r="AC53" s="1258"/>
      <c r="AD53" s="1259" t="s">
        <v>162</v>
      </c>
      <c r="AE53" s="1259"/>
      <c r="AF53" s="1259" t="s">
        <v>179</v>
      </c>
      <c r="AG53" s="1259"/>
      <c r="AH53" s="1259" t="s">
        <v>193</v>
      </c>
      <c r="AI53" s="1259"/>
      <c r="AJ53" s="1259" t="s">
        <v>164</v>
      </c>
      <c r="AK53" s="1260"/>
    </row>
    <row r="54" spans="27:37" x14ac:dyDescent="0.3">
      <c r="AA54" s="1257"/>
      <c r="AB54" s="1258"/>
      <c r="AC54" s="1258"/>
      <c r="AD54" s="1259"/>
      <c r="AE54" s="1259"/>
      <c r="AF54" s="1259"/>
      <c r="AG54" s="1259"/>
      <c r="AH54" s="1259"/>
      <c r="AI54" s="1259"/>
      <c r="AJ54" s="1259"/>
      <c r="AK54" s="1260"/>
    </row>
    <row r="55" spans="27:37" x14ac:dyDescent="0.3">
      <c r="AA55" s="1257" t="s">
        <v>224</v>
      </c>
      <c r="AB55" s="1258"/>
      <c r="AC55" s="1258"/>
      <c r="AD55" s="1259" t="s">
        <v>162</v>
      </c>
      <c r="AE55" s="1259"/>
      <c r="AF55" s="1259" t="s">
        <v>179</v>
      </c>
      <c r="AG55" s="1259"/>
      <c r="AH55" s="1259" t="s">
        <v>193</v>
      </c>
      <c r="AI55" s="1259"/>
      <c r="AJ55" s="1259" t="s">
        <v>164</v>
      </c>
      <c r="AK55" s="1260"/>
    </row>
    <row r="56" spans="27:37" x14ac:dyDescent="0.3">
      <c r="AA56" s="1257"/>
      <c r="AB56" s="1258"/>
      <c r="AC56" s="1258"/>
      <c r="AD56" s="1259"/>
      <c r="AE56" s="1259"/>
      <c r="AF56" s="1259"/>
      <c r="AG56" s="1259"/>
      <c r="AH56" s="1259"/>
      <c r="AI56" s="1259"/>
      <c r="AJ56" s="1259"/>
      <c r="AK56" s="1260"/>
    </row>
    <row r="57" spans="27:37" x14ac:dyDescent="0.3">
      <c r="AA57" s="1257" t="s">
        <v>225</v>
      </c>
      <c r="AB57" s="1258"/>
      <c r="AC57" s="1258"/>
      <c r="AD57" s="1259" t="s">
        <v>210</v>
      </c>
      <c r="AE57" s="1259"/>
      <c r="AF57" s="1259" t="s">
        <v>211</v>
      </c>
      <c r="AG57" s="1259"/>
      <c r="AH57" s="1259" t="s">
        <v>175</v>
      </c>
      <c r="AI57" s="1259"/>
      <c r="AJ57" s="1259" t="s">
        <v>164</v>
      </c>
      <c r="AK57" s="1260"/>
    </row>
    <row r="58" spans="27:37" x14ac:dyDescent="0.3">
      <c r="AA58" s="1257"/>
      <c r="AB58" s="1258"/>
      <c r="AC58" s="1258"/>
      <c r="AD58" s="1259"/>
      <c r="AE58" s="1259"/>
      <c r="AF58" s="1259"/>
      <c r="AG58" s="1259"/>
      <c r="AH58" s="1259"/>
      <c r="AI58" s="1259"/>
      <c r="AJ58" s="1259"/>
      <c r="AK58" s="1260"/>
    </row>
    <row r="59" spans="27:37" x14ac:dyDescent="0.3">
      <c r="AA59" s="1267" t="s">
        <v>226</v>
      </c>
      <c r="AB59" s="1268"/>
      <c r="AC59" s="1268"/>
      <c r="AD59" s="1268"/>
      <c r="AE59" s="1268"/>
      <c r="AF59" s="1268"/>
      <c r="AG59" s="1268"/>
      <c r="AH59" s="1268"/>
      <c r="AI59" s="1268"/>
      <c r="AJ59" s="1268"/>
      <c r="AK59" s="1269"/>
    </row>
    <row r="60" spans="27:37" x14ac:dyDescent="0.3">
      <c r="AA60" s="1270"/>
      <c r="AB60" s="1271"/>
      <c r="AC60" s="1271"/>
      <c r="AD60" s="1271"/>
      <c r="AE60" s="1271"/>
      <c r="AF60" s="1271"/>
      <c r="AG60" s="1271"/>
      <c r="AH60" s="1271"/>
      <c r="AI60" s="1271"/>
      <c r="AJ60" s="1271"/>
      <c r="AK60" s="1272"/>
    </row>
    <row r="61" spans="27:37" ht="14.4" thickBot="1" x14ac:dyDescent="0.35">
      <c r="AA61" s="1273"/>
      <c r="AB61" s="1274"/>
      <c r="AC61" s="1274"/>
      <c r="AD61" s="1274"/>
      <c r="AE61" s="1274"/>
      <c r="AF61" s="1274"/>
      <c r="AG61" s="1274"/>
      <c r="AH61" s="1274"/>
      <c r="AI61" s="1274"/>
      <c r="AJ61" s="1274"/>
      <c r="AK61" s="1275"/>
    </row>
    <row r="62" spans="27:37" x14ac:dyDescent="0.3">
      <c r="AA62" s="979"/>
      <c r="AB62" s="979"/>
      <c r="AC62" s="979"/>
      <c r="AD62" s="979"/>
      <c r="AE62" s="979"/>
      <c r="AF62" s="979"/>
      <c r="AG62" s="979"/>
      <c r="AH62" s="979"/>
      <c r="AI62" s="979"/>
      <c r="AJ62" s="979"/>
      <c r="AK62" s="979"/>
    </row>
    <row r="63" spans="27:37" x14ac:dyDescent="0.3">
      <c r="AA63" s="979"/>
      <c r="AB63" s="979"/>
      <c r="AC63" s="979"/>
      <c r="AD63" s="979"/>
      <c r="AE63" s="979"/>
      <c r="AF63" s="979"/>
      <c r="AG63" s="979"/>
      <c r="AH63" s="979"/>
      <c r="AI63" s="979"/>
      <c r="AJ63" s="979"/>
      <c r="AK63" s="979"/>
    </row>
    <row r="64" spans="27:37" x14ac:dyDescent="0.3">
      <c r="AA64" s="979"/>
      <c r="AB64" s="979"/>
      <c r="AC64" s="979"/>
      <c r="AD64" s="979"/>
      <c r="AE64" s="979"/>
      <c r="AF64" s="979"/>
      <c r="AG64" s="979"/>
      <c r="AH64" s="979"/>
      <c r="AI64" s="979"/>
      <c r="AJ64" s="979"/>
      <c r="AK64" s="979"/>
    </row>
    <row r="65" spans="27:37" x14ac:dyDescent="0.3">
      <c r="AA65" s="979"/>
      <c r="AB65" s="979"/>
      <c r="AC65" s="979"/>
      <c r="AD65" s="979"/>
      <c r="AE65" s="979"/>
      <c r="AF65" s="979"/>
      <c r="AG65" s="979"/>
      <c r="AH65" s="979"/>
      <c r="AI65" s="979"/>
      <c r="AJ65" s="979"/>
      <c r="AK65" s="979"/>
    </row>
    <row r="66" spans="27:37" x14ac:dyDescent="0.3">
      <c r="AA66" s="979"/>
      <c r="AB66" s="979"/>
      <c r="AC66" s="979"/>
      <c r="AD66" s="979"/>
      <c r="AE66" s="979"/>
      <c r="AF66" s="979"/>
      <c r="AG66" s="979"/>
      <c r="AH66" s="979"/>
      <c r="AI66" s="979"/>
      <c r="AJ66" s="979"/>
      <c r="AK66" s="979"/>
    </row>
    <row r="67" spans="27:37" x14ac:dyDescent="0.3">
      <c r="AA67" s="979"/>
      <c r="AB67" s="979"/>
      <c r="AC67" s="979"/>
      <c r="AD67" s="979"/>
      <c r="AE67" s="979"/>
      <c r="AF67" s="979"/>
      <c r="AG67" s="979"/>
      <c r="AH67" s="979"/>
      <c r="AI67" s="979"/>
      <c r="AJ67" s="979"/>
      <c r="AK67" s="979"/>
    </row>
    <row r="68" spans="27:37" x14ac:dyDescent="0.3">
      <c r="AA68" s="979"/>
      <c r="AB68" s="979"/>
      <c r="AC68" s="979"/>
      <c r="AD68" s="979"/>
      <c r="AE68" s="979"/>
      <c r="AF68" s="979"/>
      <c r="AG68" s="979"/>
      <c r="AH68" s="979"/>
      <c r="AI68" s="979"/>
      <c r="AJ68" s="979"/>
      <c r="AK68" s="979"/>
    </row>
    <row r="69" spans="27:37" x14ac:dyDescent="0.3">
      <c r="AA69" s="979"/>
      <c r="AB69" s="979"/>
      <c r="AC69" s="979"/>
      <c r="AD69" s="979"/>
      <c r="AE69" s="979"/>
      <c r="AF69" s="979"/>
      <c r="AG69" s="979"/>
      <c r="AH69" s="979"/>
      <c r="AI69" s="979"/>
      <c r="AJ69" s="979"/>
      <c r="AK69" s="979"/>
    </row>
    <row r="70" spans="27:37" x14ac:dyDescent="0.3">
      <c r="AA70" s="979"/>
      <c r="AB70" s="979"/>
      <c r="AC70" s="979"/>
      <c r="AD70" s="979"/>
      <c r="AE70" s="979"/>
      <c r="AF70" s="979"/>
      <c r="AG70" s="979"/>
      <c r="AH70" s="979"/>
      <c r="AI70" s="979"/>
      <c r="AJ70" s="979"/>
      <c r="AK70" s="979"/>
    </row>
    <row r="71" spans="27:37" x14ac:dyDescent="0.3">
      <c r="AA71" s="979"/>
      <c r="AB71" s="979"/>
      <c r="AC71" s="979"/>
      <c r="AD71" s="979"/>
      <c r="AE71" s="979"/>
      <c r="AF71" s="979"/>
      <c r="AG71" s="979"/>
      <c r="AH71" s="979"/>
      <c r="AI71" s="979"/>
      <c r="AJ71" s="979"/>
      <c r="AK71" s="979"/>
    </row>
    <row r="72" spans="27:37" x14ac:dyDescent="0.3">
      <c r="AA72" s="979"/>
      <c r="AB72" s="979"/>
      <c r="AC72" s="979"/>
      <c r="AD72" s="979"/>
      <c r="AE72" s="979"/>
      <c r="AF72" s="979"/>
      <c r="AG72" s="979"/>
      <c r="AH72" s="979"/>
      <c r="AI72" s="979"/>
      <c r="AJ72" s="979"/>
      <c r="AK72" s="979"/>
    </row>
    <row r="73" spans="27:37" x14ac:dyDescent="0.3">
      <c r="AA73" s="979"/>
      <c r="AB73" s="979"/>
      <c r="AC73" s="979"/>
      <c r="AD73" s="979"/>
      <c r="AE73" s="979"/>
      <c r="AF73" s="979"/>
      <c r="AG73" s="979"/>
      <c r="AH73" s="979"/>
      <c r="AI73" s="979"/>
      <c r="AJ73" s="979"/>
      <c r="AK73" s="979"/>
    </row>
    <row r="74" spans="27:37" x14ac:dyDescent="0.3">
      <c r="AA74" s="979"/>
      <c r="AB74" s="979"/>
      <c r="AC74" s="979"/>
      <c r="AD74" s="979"/>
      <c r="AE74" s="979"/>
      <c r="AF74" s="979"/>
      <c r="AG74" s="979"/>
      <c r="AH74" s="979"/>
      <c r="AI74" s="979"/>
      <c r="AJ74" s="979"/>
      <c r="AK74" s="979"/>
    </row>
    <row r="75" spans="27:37" x14ac:dyDescent="0.3">
      <c r="AA75" s="979"/>
      <c r="AB75" s="979"/>
      <c r="AC75" s="979"/>
      <c r="AD75" s="979"/>
      <c r="AE75" s="979"/>
      <c r="AF75" s="979"/>
      <c r="AG75" s="979"/>
      <c r="AH75" s="979"/>
      <c r="AI75" s="979"/>
      <c r="AJ75" s="979"/>
      <c r="AK75" s="979"/>
    </row>
    <row r="76" spans="27:37" x14ac:dyDescent="0.3">
      <c r="AA76" s="979"/>
      <c r="AB76" s="979"/>
      <c r="AC76" s="979"/>
      <c r="AD76" s="979"/>
      <c r="AE76" s="979"/>
      <c r="AF76" s="979"/>
      <c r="AG76" s="979"/>
      <c r="AH76" s="979"/>
      <c r="AI76" s="979"/>
      <c r="AJ76" s="979"/>
      <c r="AK76" s="979"/>
    </row>
    <row r="77" spans="27:37" x14ac:dyDescent="0.3">
      <c r="AA77" s="979"/>
      <c r="AB77" s="979"/>
      <c r="AC77" s="979"/>
      <c r="AD77" s="979"/>
      <c r="AE77" s="979"/>
      <c r="AF77" s="979"/>
      <c r="AG77" s="979"/>
      <c r="AH77" s="979"/>
      <c r="AI77" s="979"/>
      <c r="AJ77" s="979"/>
      <c r="AK77" s="979"/>
    </row>
    <row r="78" spans="27:37" x14ac:dyDescent="0.3">
      <c r="AA78" s="979"/>
      <c r="AB78" s="979"/>
      <c r="AC78" s="979"/>
      <c r="AD78" s="979"/>
      <c r="AE78" s="979"/>
      <c r="AF78" s="979"/>
      <c r="AG78" s="979"/>
      <c r="AH78" s="979"/>
      <c r="AI78" s="979"/>
      <c r="AJ78" s="979"/>
      <c r="AK78" s="979"/>
    </row>
    <row r="79" spans="27:37" x14ac:dyDescent="0.3">
      <c r="AA79" s="979"/>
      <c r="AB79" s="979"/>
      <c r="AC79" s="979"/>
      <c r="AD79" s="979"/>
      <c r="AE79" s="979"/>
      <c r="AF79" s="979"/>
      <c r="AG79" s="979"/>
      <c r="AH79" s="979"/>
      <c r="AI79" s="979"/>
      <c r="AJ79" s="979"/>
      <c r="AK79" s="979"/>
    </row>
    <row r="80" spans="27:37" x14ac:dyDescent="0.3">
      <c r="AA80" s="979"/>
      <c r="AB80" s="979"/>
      <c r="AC80" s="979"/>
      <c r="AD80" s="979"/>
      <c r="AE80" s="979"/>
      <c r="AF80" s="979"/>
      <c r="AG80" s="979"/>
      <c r="AH80" s="979"/>
      <c r="AI80" s="979"/>
      <c r="AJ80" s="979"/>
      <c r="AK80" s="979"/>
    </row>
    <row r="81" spans="27:37" x14ac:dyDescent="0.3">
      <c r="AA81" s="979"/>
      <c r="AB81" s="979"/>
      <c r="AC81" s="979"/>
      <c r="AD81" s="979"/>
      <c r="AE81" s="979"/>
      <c r="AF81" s="979"/>
      <c r="AG81" s="979"/>
      <c r="AH81" s="979"/>
      <c r="AI81" s="979"/>
      <c r="AJ81" s="979"/>
      <c r="AK81" s="979"/>
    </row>
    <row r="82" spans="27:37" x14ac:dyDescent="0.3">
      <c r="AA82" s="979"/>
      <c r="AB82" s="979"/>
      <c r="AC82" s="979"/>
      <c r="AD82" s="979"/>
      <c r="AE82" s="979"/>
      <c r="AF82" s="979"/>
      <c r="AG82" s="979"/>
      <c r="AH82" s="979"/>
      <c r="AI82" s="979"/>
      <c r="AJ82" s="979"/>
      <c r="AK82" s="979"/>
    </row>
    <row r="83" spans="27:37" x14ac:dyDescent="0.3">
      <c r="AA83" s="979"/>
      <c r="AB83" s="979"/>
      <c r="AC83" s="979"/>
      <c r="AD83" s="979"/>
      <c r="AE83" s="979"/>
      <c r="AF83" s="979"/>
      <c r="AG83" s="979"/>
      <c r="AH83" s="979"/>
      <c r="AI83" s="979"/>
      <c r="AJ83" s="979"/>
      <c r="AK83" s="979"/>
    </row>
    <row r="84" spans="27:37" x14ac:dyDescent="0.3">
      <c r="AA84" s="979"/>
      <c r="AB84" s="979"/>
      <c r="AC84" s="979"/>
      <c r="AD84" s="979"/>
      <c r="AE84" s="979"/>
      <c r="AF84" s="979"/>
      <c r="AG84" s="979"/>
      <c r="AH84" s="979"/>
      <c r="AI84" s="979"/>
      <c r="AJ84" s="979"/>
      <c r="AK84" s="979"/>
    </row>
    <row r="85" spans="27:37" x14ac:dyDescent="0.3">
      <c r="AA85" s="979"/>
      <c r="AB85" s="979"/>
      <c r="AC85" s="979"/>
      <c r="AD85" s="979"/>
      <c r="AE85" s="979"/>
      <c r="AF85" s="979"/>
      <c r="AG85" s="979"/>
      <c r="AH85" s="979"/>
      <c r="AI85" s="979"/>
      <c r="AJ85" s="979"/>
      <c r="AK85" s="979"/>
    </row>
    <row r="86" spans="27:37" x14ac:dyDescent="0.3">
      <c r="AA86" s="979"/>
      <c r="AB86" s="979"/>
      <c r="AC86" s="979"/>
      <c r="AD86" s="979"/>
      <c r="AE86" s="979"/>
      <c r="AF86" s="979"/>
      <c r="AG86" s="979"/>
      <c r="AH86" s="979"/>
      <c r="AI86" s="979"/>
      <c r="AJ86" s="979"/>
      <c r="AK86" s="979"/>
    </row>
    <row r="87" spans="27:37" x14ac:dyDescent="0.3">
      <c r="AA87" s="979"/>
      <c r="AB87" s="979"/>
      <c r="AC87" s="979"/>
      <c r="AD87" s="979"/>
      <c r="AE87" s="979"/>
      <c r="AF87" s="979"/>
      <c r="AG87" s="979"/>
      <c r="AH87" s="979"/>
      <c r="AI87" s="979"/>
      <c r="AJ87" s="979"/>
      <c r="AK87" s="979"/>
    </row>
    <row r="88" spans="27:37" x14ac:dyDescent="0.3">
      <c r="AA88" s="979"/>
      <c r="AB88" s="979"/>
      <c r="AC88" s="979"/>
      <c r="AD88" s="979"/>
      <c r="AE88" s="979"/>
      <c r="AF88" s="979"/>
      <c r="AG88" s="979"/>
      <c r="AH88" s="979"/>
      <c r="AI88" s="979"/>
      <c r="AJ88" s="979"/>
      <c r="AK88" s="979"/>
    </row>
    <row r="89" spans="27:37" x14ac:dyDescent="0.3">
      <c r="AA89" s="979"/>
      <c r="AB89" s="979"/>
      <c r="AC89" s="979"/>
      <c r="AD89" s="979"/>
      <c r="AE89" s="979"/>
      <c r="AF89" s="979"/>
      <c r="AG89" s="979"/>
      <c r="AH89" s="979"/>
      <c r="AI89" s="979"/>
      <c r="AJ89" s="979"/>
      <c r="AK89" s="979"/>
    </row>
    <row r="90" spans="27:37" x14ac:dyDescent="0.3">
      <c r="AA90" s="979"/>
      <c r="AB90" s="979"/>
      <c r="AC90" s="979"/>
      <c r="AD90" s="979"/>
      <c r="AE90" s="979"/>
      <c r="AF90" s="979"/>
      <c r="AG90" s="979"/>
      <c r="AH90" s="979"/>
      <c r="AI90" s="979"/>
      <c r="AJ90" s="979"/>
      <c r="AK90" s="979"/>
    </row>
    <row r="91" spans="27:37" x14ac:dyDescent="0.3">
      <c r="AA91" s="979"/>
      <c r="AB91" s="979"/>
      <c r="AC91" s="979"/>
      <c r="AD91" s="979"/>
      <c r="AE91" s="979"/>
      <c r="AF91" s="979"/>
      <c r="AG91" s="979"/>
      <c r="AH91" s="979"/>
      <c r="AI91" s="979"/>
      <c r="AJ91" s="979"/>
      <c r="AK91" s="979"/>
    </row>
    <row r="92" spans="27:37" x14ac:dyDescent="0.3">
      <c r="AA92" s="979"/>
      <c r="AB92" s="979"/>
      <c r="AC92" s="979"/>
      <c r="AD92" s="979"/>
      <c r="AE92" s="979"/>
      <c r="AF92" s="979"/>
      <c r="AG92" s="979"/>
      <c r="AH92" s="979"/>
      <c r="AI92" s="979"/>
      <c r="AJ92" s="979"/>
      <c r="AK92" s="979"/>
    </row>
    <row r="93" spans="27:37" x14ac:dyDescent="0.3">
      <c r="AA93" s="979"/>
      <c r="AB93" s="979"/>
      <c r="AC93" s="979"/>
      <c r="AD93" s="979"/>
      <c r="AE93" s="979"/>
      <c r="AF93" s="979"/>
      <c r="AG93" s="979"/>
      <c r="AH93" s="979"/>
      <c r="AI93" s="979"/>
      <c r="AJ93" s="979"/>
      <c r="AK93" s="979"/>
    </row>
    <row r="94" spans="27:37" x14ac:dyDescent="0.3">
      <c r="AA94" s="979"/>
      <c r="AB94" s="979"/>
      <c r="AC94" s="979"/>
      <c r="AD94" s="979"/>
      <c r="AE94" s="979"/>
      <c r="AF94" s="979"/>
      <c r="AG94" s="979"/>
      <c r="AH94" s="979"/>
      <c r="AI94" s="979"/>
      <c r="AJ94" s="979"/>
      <c r="AK94" s="979"/>
    </row>
    <row r="95" spans="27:37" x14ac:dyDescent="0.3">
      <c r="AA95" s="979"/>
      <c r="AB95" s="979"/>
      <c r="AC95" s="979"/>
      <c r="AD95" s="979"/>
      <c r="AE95" s="979"/>
      <c r="AF95" s="979"/>
      <c r="AG95" s="979"/>
      <c r="AH95" s="979"/>
      <c r="AI95" s="979"/>
      <c r="AJ95" s="979"/>
      <c r="AK95" s="979"/>
    </row>
    <row r="96" spans="27:37" x14ac:dyDescent="0.3">
      <c r="AA96" s="979"/>
      <c r="AB96" s="979"/>
      <c r="AC96" s="979"/>
      <c r="AD96" s="979"/>
      <c r="AE96" s="979"/>
      <c r="AF96" s="979"/>
      <c r="AG96" s="979"/>
      <c r="AH96" s="979"/>
      <c r="AI96" s="979"/>
      <c r="AJ96" s="979"/>
      <c r="AK96" s="979"/>
    </row>
    <row r="97" spans="27:37" x14ac:dyDescent="0.3">
      <c r="AA97" s="979"/>
      <c r="AB97" s="979"/>
      <c r="AC97" s="979"/>
      <c r="AD97" s="979"/>
      <c r="AE97" s="979"/>
      <c r="AF97" s="979"/>
      <c r="AG97" s="979"/>
      <c r="AH97" s="979"/>
      <c r="AI97" s="979"/>
      <c r="AJ97" s="979"/>
      <c r="AK97" s="979"/>
    </row>
    <row r="98" spans="27:37" x14ac:dyDescent="0.3">
      <c r="AA98" s="979"/>
      <c r="AB98" s="979"/>
      <c r="AC98" s="979"/>
      <c r="AD98" s="979"/>
      <c r="AE98" s="979"/>
      <c r="AF98" s="979"/>
      <c r="AG98" s="979"/>
      <c r="AH98" s="979"/>
      <c r="AI98" s="979"/>
      <c r="AJ98" s="979"/>
      <c r="AK98" s="979"/>
    </row>
    <row r="99" spans="27:37" x14ac:dyDescent="0.3">
      <c r="AA99" s="979"/>
      <c r="AB99" s="979"/>
      <c r="AC99" s="979"/>
      <c r="AD99" s="979"/>
      <c r="AE99" s="979"/>
      <c r="AF99" s="979"/>
      <c r="AG99" s="979"/>
      <c r="AH99" s="979"/>
      <c r="AI99" s="979"/>
      <c r="AJ99" s="979"/>
      <c r="AK99" s="979"/>
    </row>
    <row r="100" spans="27:37" x14ac:dyDescent="0.3">
      <c r="AA100" s="979"/>
      <c r="AB100" s="979"/>
      <c r="AC100" s="979"/>
      <c r="AD100" s="979"/>
      <c r="AE100" s="979"/>
      <c r="AF100" s="979"/>
      <c r="AG100" s="979"/>
      <c r="AH100" s="979"/>
      <c r="AI100" s="979"/>
      <c r="AJ100" s="979"/>
      <c r="AK100" s="979"/>
    </row>
    <row r="101" spans="27:37" x14ac:dyDescent="0.3">
      <c r="AA101" s="979"/>
      <c r="AB101" s="979"/>
      <c r="AC101" s="979"/>
      <c r="AD101" s="979"/>
      <c r="AE101" s="979"/>
      <c r="AF101" s="979"/>
      <c r="AG101" s="979"/>
      <c r="AH101" s="979"/>
      <c r="AI101" s="979"/>
      <c r="AJ101" s="979"/>
      <c r="AK101" s="979"/>
    </row>
    <row r="102" spans="27:37" x14ac:dyDescent="0.3">
      <c r="AA102" s="979"/>
      <c r="AB102" s="979"/>
      <c r="AC102" s="979"/>
      <c r="AD102" s="979"/>
      <c r="AE102" s="979"/>
      <c r="AF102" s="979"/>
      <c r="AG102" s="979"/>
      <c r="AH102" s="979"/>
      <c r="AI102" s="979"/>
      <c r="AJ102" s="979"/>
      <c r="AK102" s="979"/>
    </row>
    <row r="103" spans="27:37" x14ac:dyDescent="0.3">
      <c r="AA103" s="979"/>
      <c r="AB103" s="979"/>
      <c r="AC103" s="979"/>
      <c r="AD103" s="979"/>
      <c r="AE103" s="979"/>
      <c r="AF103" s="979"/>
      <c r="AG103" s="979"/>
      <c r="AH103" s="979"/>
      <c r="AI103" s="979"/>
      <c r="AJ103" s="979"/>
      <c r="AK103" s="979"/>
    </row>
    <row r="104" spans="27:37" x14ac:dyDescent="0.3">
      <c r="AA104" s="979"/>
      <c r="AB104" s="979"/>
      <c r="AC104" s="979"/>
      <c r="AD104" s="979"/>
      <c r="AE104" s="979"/>
      <c r="AF104" s="979"/>
      <c r="AG104" s="979"/>
      <c r="AH104" s="979"/>
      <c r="AI104" s="979"/>
      <c r="AJ104" s="979"/>
      <c r="AK104" s="979"/>
    </row>
    <row r="105" spans="27:37" x14ac:dyDescent="0.3">
      <c r="AA105" s="979"/>
      <c r="AB105" s="979"/>
      <c r="AC105" s="979"/>
      <c r="AD105" s="979"/>
      <c r="AE105" s="979"/>
      <c r="AF105" s="979"/>
      <c r="AG105" s="979"/>
      <c r="AH105" s="979"/>
      <c r="AI105" s="979"/>
      <c r="AJ105" s="979"/>
      <c r="AK105" s="979"/>
    </row>
    <row r="106" spans="27:37" x14ac:dyDescent="0.3">
      <c r="AA106" s="979"/>
      <c r="AB106" s="979"/>
      <c r="AC106" s="979"/>
      <c r="AD106" s="979"/>
      <c r="AE106" s="979"/>
      <c r="AF106" s="979"/>
      <c r="AG106" s="979"/>
      <c r="AH106" s="979"/>
      <c r="AI106" s="979"/>
      <c r="AJ106" s="979"/>
      <c r="AK106" s="979"/>
    </row>
    <row r="107" spans="27:37" x14ac:dyDescent="0.3">
      <c r="AA107" s="979"/>
      <c r="AB107" s="979"/>
      <c r="AC107" s="979"/>
      <c r="AD107" s="979"/>
      <c r="AE107" s="979"/>
      <c r="AF107" s="979"/>
      <c r="AG107" s="979"/>
      <c r="AH107" s="979"/>
      <c r="AI107" s="979"/>
      <c r="AJ107" s="979"/>
      <c r="AK107" s="979"/>
    </row>
    <row r="108" spans="27:37" x14ac:dyDescent="0.3">
      <c r="AA108" s="979"/>
      <c r="AB108" s="979"/>
      <c r="AC108" s="979"/>
      <c r="AD108" s="979"/>
      <c r="AE108" s="979"/>
      <c r="AF108" s="979"/>
      <c r="AG108" s="979"/>
      <c r="AH108" s="979"/>
      <c r="AI108" s="979"/>
      <c r="AJ108" s="979"/>
      <c r="AK108" s="979"/>
    </row>
    <row r="109" spans="27:37" x14ac:dyDescent="0.3">
      <c r="AA109" s="979"/>
      <c r="AB109" s="979"/>
      <c r="AC109" s="979"/>
      <c r="AD109" s="979"/>
      <c r="AE109" s="979"/>
      <c r="AF109" s="979"/>
      <c r="AG109" s="979"/>
      <c r="AH109" s="979"/>
      <c r="AI109" s="979"/>
      <c r="AJ109" s="979"/>
      <c r="AK109" s="979"/>
    </row>
    <row r="110" spans="27:37" x14ac:dyDescent="0.3">
      <c r="AA110" s="979"/>
      <c r="AB110" s="979"/>
      <c r="AC110" s="979"/>
      <c r="AD110" s="979"/>
      <c r="AE110" s="979"/>
      <c r="AF110" s="979"/>
      <c r="AG110" s="979"/>
      <c r="AH110" s="979"/>
      <c r="AI110" s="979"/>
      <c r="AJ110" s="979"/>
      <c r="AK110" s="979"/>
    </row>
    <row r="111" spans="27:37" x14ac:dyDescent="0.3">
      <c r="AA111" s="979"/>
      <c r="AB111" s="979"/>
      <c r="AC111" s="979"/>
      <c r="AD111" s="979"/>
      <c r="AE111" s="979"/>
      <c r="AF111" s="979"/>
      <c r="AG111" s="979"/>
      <c r="AH111" s="979"/>
      <c r="AI111" s="979"/>
      <c r="AJ111" s="979"/>
      <c r="AK111" s="979"/>
    </row>
    <row r="112" spans="27:37" x14ac:dyDescent="0.3">
      <c r="AA112" s="979"/>
      <c r="AB112" s="979"/>
      <c r="AC112" s="979"/>
      <c r="AD112" s="979"/>
      <c r="AE112" s="979"/>
      <c r="AF112" s="979"/>
      <c r="AG112" s="979"/>
      <c r="AH112" s="979"/>
      <c r="AI112" s="979"/>
      <c r="AJ112" s="979"/>
      <c r="AK112" s="979"/>
    </row>
    <row r="113" spans="27:37" x14ac:dyDescent="0.3">
      <c r="AA113" s="979"/>
      <c r="AB113" s="979"/>
      <c r="AC113" s="979"/>
      <c r="AD113" s="979"/>
      <c r="AE113" s="979"/>
      <c r="AF113" s="979"/>
      <c r="AG113" s="979"/>
      <c r="AH113" s="979"/>
      <c r="AI113" s="979"/>
      <c r="AJ113" s="979"/>
      <c r="AK113" s="979"/>
    </row>
    <row r="114" spans="27:37" x14ac:dyDescent="0.3">
      <c r="AA114" s="979"/>
      <c r="AB114" s="979"/>
      <c r="AC114" s="979"/>
      <c r="AD114" s="979"/>
      <c r="AE114" s="979"/>
      <c r="AF114" s="979"/>
      <c r="AG114" s="979"/>
      <c r="AH114" s="979"/>
      <c r="AI114" s="979"/>
      <c r="AJ114" s="979"/>
      <c r="AK114" s="979"/>
    </row>
    <row r="115" spans="27:37" x14ac:dyDescent="0.3">
      <c r="AA115" s="979"/>
      <c r="AB115" s="979"/>
      <c r="AC115" s="979"/>
      <c r="AD115" s="979"/>
      <c r="AE115" s="979"/>
      <c r="AF115" s="979"/>
      <c r="AG115" s="979"/>
      <c r="AH115" s="979"/>
      <c r="AI115" s="979"/>
      <c r="AJ115" s="979"/>
      <c r="AK115" s="979"/>
    </row>
    <row r="116" spans="27:37" x14ac:dyDescent="0.3">
      <c r="AA116" s="979"/>
      <c r="AB116" s="979"/>
      <c r="AC116" s="979"/>
      <c r="AD116" s="979"/>
      <c r="AE116" s="979"/>
      <c r="AF116" s="979"/>
      <c r="AG116" s="979"/>
      <c r="AH116" s="979"/>
      <c r="AI116" s="979"/>
      <c r="AJ116" s="979"/>
      <c r="AK116" s="979"/>
    </row>
    <row r="117" spans="27:37" x14ac:dyDescent="0.3">
      <c r="AA117" s="979"/>
      <c r="AB117" s="979"/>
      <c r="AC117" s="979"/>
      <c r="AD117" s="979"/>
      <c r="AE117" s="979"/>
      <c r="AF117" s="979"/>
      <c r="AG117" s="979"/>
      <c r="AH117" s="979"/>
      <c r="AI117" s="979"/>
      <c r="AJ117" s="979"/>
      <c r="AK117" s="979"/>
    </row>
    <row r="118" spans="27:37" x14ac:dyDescent="0.3">
      <c r="AA118" s="979"/>
      <c r="AB118" s="979"/>
      <c r="AC118" s="979"/>
      <c r="AD118" s="979"/>
      <c r="AE118" s="979"/>
      <c r="AF118" s="979"/>
      <c r="AG118" s="979"/>
      <c r="AH118" s="979"/>
      <c r="AI118" s="979"/>
      <c r="AJ118" s="979"/>
      <c r="AK118" s="979"/>
    </row>
    <row r="119" spans="27:37" x14ac:dyDescent="0.3">
      <c r="AA119" s="979"/>
      <c r="AB119" s="979"/>
      <c r="AC119" s="979"/>
      <c r="AD119" s="979"/>
      <c r="AE119" s="979"/>
      <c r="AF119" s="979"/>
      <c r="AG119" s="979"/>
      <c r="AH119" s="979"/>
      <c r="AI119" s="979"/>
      <c r="AJ119" s="979"/>
      <c r="AK119" s="979"/>
    </row>
    <row r="120" spans="27:37" x14ac:dyDescent="0.3">
      <c r="AA120" s="979"/>
      <c r="AB120" s="979"/>
      <c r="AC120" s="979"/>
      <c r="AD120" s="979"/>
      <c r="AE120" s="979"/>
      <c r="AF120" s="979"/>
      <c r="AG120" s="979"/>
      <c r="AH120" s="979"/>
      <c r="AI120" s="979"/>
      <c r="AJ120" s="979"/>
      <c r="AK120" s="979"/>
    </row>
    <row r="121" spans="27:37" x14ac:dyDescent="0.3">
      <c r="AA121" s="979"/>
      <c r="AB121" s="979"/>
      <c r="AC121" s="979"/>
      <c r="AD121" s="979"/>
      <c r="AE121" s="979"/>
      <c r="AF121" s="979"/>
      <c r="AG121" s="979"/>
      <c r="AH121" s="979"/>
      <c r="AI121" s="979"/>
      <c r="AJ121" s="979"/>
      <c r="AK121" s="979"/>
    </row>
    <row r="122" spans="27:37" x14ac:dyDescent="0.3">
      <c r="AA122" s="979"/>
      <c r="AB122" s="979"/>
      <c r="AC122" s="979"/>
      <c r="AD122" s="979"/>
      <c r="AE122" s="979"/>
      <c r="AF122" s="979"/>
      <c r="AG122" s="979"/>
      <c r="AH122" s="979"/>
      <c r="AI122" s="979"/>
      <c r="AJ122" s="979"/>
      <c r="AK122" s="979"/>
    </row>
    <row r="123" spans="27:37" x14ac:dyDescent="0.3">
      <c r="AA123" s="979"/>
      <c r="AB123" s="979"/>
      <c r="AC123" s="979"/>
      <c r="AD123" s="979"/>
      <c r="AE123" s="979"/>
      <c r="AF123" s="979"/>
      <c r="AG123" s="979"/>
      <c r="AH123" s="979"/>
      <c r="AI123" s="979"/>
      <c r="AJ123" s="979"/>
      <c r="AK123" s="979"/>
    </row>
    <row r="124" spans="27:37" x14ac:dyDescent="0.3">
      <c r="AA124" s="979"/>
      <c r="AB124" s="979"/>
      <c r="AC124" s="979"/>
      <c r="AD124" s="979"/>
      <c r="AE124" s="979"/>
      <c r="AF124" s="979"/>
      <c r="AG124" s="979"/>
      <c r="AH124" s="979"/>
      <c r="AI124" s="979"/>
      <c r="AJ124" s="979"/>
      <c r="AK124" s="979"/>
    </row>
    <row r="125" spans="27:37" x14ac:dyDescent="0.3">
      <c r="AA125" s="979"/>
      <c r="AB125" s="979"/>
      <c r="AC125" s="979"/>
      <c r="AD125" s="979"/>
      <c r="AE125" s="979"/>
      <c r="AF125" s="979"/>
      <c r="AG125" s="979"/>
      <c r="AH125" s="979"/>
      <c r="AI125" s="979"/>
      <c r="AJ125" s="979"/>
      <c r="AK125" s="979"/>
    </row>
    <row r="126" spans="27:37" x14ac:dyDescent="0.3">
      <c r="AA126" s="979"/>
      <c r="AB126" s="979"/>
      <c r="AC126" s="979"/>
      <c r="AD126" s="979"/>
      <c r="AE126" s="979"/>
      <c r="AF126" s="979"/>
      <c r="AG126" s="979"/>
      <c r="AH126" s="979"/>
      <c r="AI126" s="979"/>
      <c r="AJ126" s="979"/>
      <c r="AK126" s="979"/>
    </row>
    <row r="127" spans="27:37" x14ac:dyDescent="0.3">
      <c r="AA127" s="979"/>
      <c r="AB127" s="979"/>
      <c r="AC127" s="979"/>
      <c r="AD127" s="979"/>
      <c r="AE127" s="979"/>
      <c r="AF127" s="979"/>
      <c r="AG127" s="979"/>
      <c r="AH127" s="979"/>
      <c r="AI127" s="979"/>
      <c r="AJ127" s="979"/>
      <c r="AK127" s="979"/>
    </row>
    <row r="128" spans="27:37" x14ac:dyDescent="0.3">
      <c r="AA128" s="979"/>
      <c r="AB128" s="979"/>
      <c r="AC128" s="979"/>
      <c r="AD128" s="979"/>
      <c r="AE128" s="979"/>
      <c r="AF128" s="979"/>
      <c r="AG128" s="979"/>
      <c r="AH128" s="979"/>
      <c r="AI128" s="979"/>
      <c r="AJ128" s="979"/>
      <c r="AK128" s="979"/>
    </row>
    <row r="129" spans="27:37" x14ac:dyDescent="0.3">
      <c r="AA129" s="979"/>
      <c r="AB129" s="979"/>
      <c r="AC129" s="979"/>
      <c r="AD129" s="979"/>
      <c r="AE129" s="979"/>
      <c r="AF129" s="979"/>
      <c r="AG129" s="979"/>
      <c r="AH129" s="979"/>
      <c r="AI129" s="979"/>
      <c r="AJ129" s="979"/>
      <c r="AK129" s="979"/>
    </row>
    <row r="130" spans="27:37" x14ac:dyDescent="0.3">
      <c r="AA130" s="979"/>
      <c r="AB130" s="979"/>
      <c r="AC130" s="979"/>
      <c r="AD130" s="979"/>
      <c r="AE130" s="979"/>
      <c r="AF130" s="979"/>
      <c r="AG130" s="979"/>
      <c r="AH130" s="979"/>
      <c r="AI130" s="979"/>
      <c r="AJ130" s="979"/>
      <c r="AK130" s="979"/>
    </row>
    <row r="131" spans="27:37" x14ac:dyDescent="0.3">
      <c r="AA131" s="979"/>
      <c r="AB131" s="979"/>
      <c r="AC131" s="979"/>
      <c r="AD131" s="979"/>
      <c r="AE131" s="979"/>
      <c r="AF131" s="979"/>
      <c r="AG131" s="979"/>
      <c r="AH131" s="979"/>
      <c r="AI131" s="979"/>
      <c r="AJ131" s="979"/>
      <c r="AK131" s="979"/>
    </row>
    <row r="132" spans="27:37" x14ac:dyDescent="0.3">
      <c r="AA132" s="979"/>
      <c r="AB132" s="979"/>
      <c r="AC132" s="979"/>
      <c r="AD132" s="979"/>
      <c r="AE132" s="979"/>
      <c r="AF132" s="979"/>
      <c r="AG132" s="979"/>
      <c r="AH132" s="979"/>
      <c r="AI132" s="979"/>
      <c r="AJ132" s="979"/>
      <c r="AK132" s="979"/>
    </row>
    <row r="133" spans="27:37" x14ac:dyDescent="0.3">
      <c r="AA133" s="979"/>
      <c r="AB133" s="979"/>
      <c r="AC133" s="979"/>
      <c r="AD133" s="979"/>
      <c r="AE133" s="979"/>
      <c r="AF133" s="979"/>
      <c r="AG133" s="979"/>
      <c r="AH133" s="979"/>
      <c r="AI133" s="979"/>
      <c r="AJ133" s="979"/>
      <c r="AK133" s="979"/>
    </row>
    <row r="134" spans="27:37" x14ac:dyDescent="0.3">
      <c r="AA134" s="979"/>
      <c r="AB134" s="979"/>
      <c r="AC134" s="979"/>
      <c r="AD134" s="979"/>
      <c r="AE134" s="979"/>
      <c r="AF134" s="979"/>
      <c r="AG134" s="979"/>
      <c r="AH134" s="979"/>
      <c r="AI134" s="979"/>
      <c r="AJ134" s="979"/>
      <c r="AK134" s="979"/>
    </row>
    <row r="135" spans="27:37" x14ac:dyDescent="0.3">
      <c r="AA135" s="979"/>
      <c r="AB135" s="979"/>
      <c r="AC135" s="979"/>
      <c r="AD135" s="979"/>
      <c r="AE135" s="979"/>
      <c r="AF135" s="979"/>
      <c r="AG135" s="979"/>
      <c r="AH135" s="979"/>
      <c r="AI135" s="979"/>
      <c r="AJ135" s="979"/>
      <c r="AK135" s="979"/>
    </row>
    <row r="136" spans="27:37" x14ac:dyDescent="0.3">
      <c r="AA136" s="979"/>
      <c r="AB136" s="979"/>
      <c r="AC136" s="979"/>
      <c r="AD136" s="979"/>
      <c r="AE136" s="979"/>
      <c r="AF136" s="979"/>
      <c r="AG136" s="979"/>
      <c r="AH136" s="979"/>
      <c r="AI136" s="979"/>
      <c r="AJ136" s="979"/>
      <c r="AK136" s="979"/>
    </row>
    <row r="137" spans="27:37" x14ac:dyDescent="0.3">
      <c r="AA137" s="979"/>
      <c r="AB137" s="979"/>
      <c r="AC137" s="979"/>
      <c r="AD137" s="979"/>
      <c r="AE137" s="979"/>
      <c r="AF137" s="979"/>
      <c r="AG137" s="979"/>
      <c r="AH137" s="979"/>
      <c r="AI137" s="979"/>
      <c r="AJ137" s="979"/>
      <c r="AK137" s="979"/>
    </row>
    <row r="138" spans="27:37" x14ac:dyDescent="0.3">
      <c r="AA138" s="979"/>
      <c r="AB138" s="979"/>
      <c r="AC138" s="979"/>
      <c r="AD138" s="979"/>
      <c r="AE138" s="979"/>
      <c r="AF138" s="979"/>
      <c r="AG138" s="979"/>
      <c r="AH138" s="979"/>
      <c r="AI138" s="979"/>
      <c r="AJ138" s="979"/>
      <c r="AK138" s="979"/>
    </row>
    <row r="139" spans="27:37" x14ac:dyDescent="0.3">
      <c r="AA139" s="979"/>
      <c r="AB139" s="979"/>
      <c r="AC139" s="979"/>
      <c r="AD139" s="979"/>
      <c r="AE139" s="979"/>
      <c r="AF139" s="979"/>
      <c r="AG139" s="979"/>
      <c r="AH139" s="979"/>
      <c r="AI139" s="979"/>
      <c r="AJ139" s="979"/>
      <c r="AK139" s="979"/>
    </row>
    <row r="140" spans="27:37" x14ac:dyDescent="0.3">
      <c r="AA140" s="979"/>
      <c r="AB140" s="979"/>
      <c r="AC140" s="979"/>
      <c r="AD140" s="979"/>
      <c r="AE140" s="979"/>
      <c r="AF140" s="979"/>
      <c r="AG140" s="979"/>
      <c r="AH140" s="979"/>
      <c r="AI140" s="979"/>
      <c r="AJ140" s="979"/>
      <c r="AK140" s="979"/>
    </row>
    <row r="141" spans="27:37" x14ac:dyDescent="0.3">
      <c r="AA141" s="979"/>
      <c r="AB141" s="979"/>
      <c r="AC141" s="979"/>
      <c r="AD141" s="979"/>
      <c r="AE141" s="979"/>
      <c r="AF141" s="979"/>
      <c r="AG141" s="979"/>
      <c r="AH141" s="979"/>
      <c r="AI141" s="979"/>
      <c r="AJ141" s="979"/>
      <c r="AK141" s="979"/>
    </row>
    <row r="142" spans="27:37" x14ac:dyDescent="0.3">
      <c r="AA142" s="979"/>
      <c r="AB142" s="979"/>
      <c r="AC142" s="979"/>
      <c r="AD142" s="979"/>
      <c r="AE142" s="979"/>
      <c r="AF142" s="979"/>
      <c r="AG142" s="979"/>
      <c r="AH142" s="979"/>
      <c r="AI142" s="979"/>
      <c r="AJ142" s="979"/>
      <c r="AK142" s="979"/>
    </row>
    <row r="143" spans="27:37" x14ac:dyDescent="0.3">
      <c r="AA143" s="979"/>
      <c r="AB143" s="979"/>
      <c r="AC143" s="979"/>
      <c r="AD143" s="979"/>
      <c r="AE143" s="979"/>
      <c r="AF143" s="979"/>
      <c r="AG143" s="979"/>
      <c r="AH143" s="979"/>
      <c r="AI143" s="979"/>
      <c r="AJ143" s="979"/>
      <c r="AK143" s="979"/>
    </row>
    <row r="144" spans="27:37" x14ac:dyDescent="0.3">
      <c r="AA144" s="979"/>
      <c r="AB144" s="979"/>
      <c r="AC144" s="979"/>
      <c r="AD144" s="979"/>
      <c r="AE144" s="979"/>
      <c r="AF144" s="979"/>
      <c r="AG144" s="979"/>
      <c r="AH144" s="979"/>
      <c r="AI144" s="979"/>
      <c r="AJ144" s="979"/>
      <c r="AK144" s="979"/>
    </row>
    <row r="145" spans="27:37" x14ac:dyDescent="0.3">
      <c r="AA145" s="979"/>
      <c r="AB145" s="979"/>
      <c r="AC145" s="979"/>
      <c r="AD145" s="979"/>
      <c r="AE145" s="979"/>
      <c r="AF145" s="979"/>
      <c r="AG145" s="979"/>
      <c r="AH145" s="979"/>
      <c r="AI145" s="979"/>
      <c r="AJ145" s="979"/>
      <c r="AK145" s="979"/>
    </row>
    <row r="146" spans="27:37" x14ac:dyDescent="0.3">
      <c r="AA146" s="979"/>
      <c r="AB146" s="979"/>
      <c r="AC146" s="979"/>
      <c r="AD146" s="979"/>
      <c r="AE146" s="979"/>
      <c r="AF146" s="979"/>
      <c r="AG146" s="979"/>
      <c r="AH146" s="979"/>
      <c r="AI146" s="979"/>
      <c r="AJ146" s="979"/>
      <c r="AK146" s="979"/>
    </row>
    <row r="147" spans="27:37" x14ac:dyDescent="0.3">
      <c r="AA147" s="979"/>
      <c r="AB147" s="979"/>
      <c r="AC147" s="979"/>
      <c r="AD147" s="979"/>
      <c r="AE147" s="979"/>
      <c r="AF147" s="979"/>
      <c r="AG147" s="979"/>
      <c r="AH147" s="979"/>
      <c r="AI147" s="979"/>
      <c r="AJ147" s="979"/>
      <c r="AK147" s="979"/>
    </row>
    <row r="148" spans="27:37" x14ac:dyDescent="0.3">
      <c r="AA148" s="979"/>
      <c r="AB148" s="979"/>
      <c r="AC148" s="979"/>
      <c r="AD148" s="979"/>
      <c r="AE148" s="979"/>
      <c r="AF148" s="979"/>
      <c r="AG148" s="979"/>
      <c r="AH148" s="979"/>
      <c r="AI148" s="979"/>
      <c r="AJ148" s="979"/>
      <c r="AK148" s="979"/>
    </row>
    <row r="149" spans="27:37" x14ac:dyDescent="0.3">
      <c r="AA149" s="979"/>
      <c r="AB149" s="979"/>
      <c r="AC149" s="979"/>
      <c r="AD149" s="979"/>
      <c r="AE149" s="979"/>
      <c r="AF149" s="979"/>
      <c r="AG149" s="979"/>
      <c r="AH149" s="979"/>
      <c r="AI149" s="979"/>
      <c r="AJ149" s="979"/>
      <c r="AK149" s="979"/>
    </row>
    <row r="150" spans="27:37" x14ac:dyDescent="0.3">
      <c r="AA150" s="979"/>
      <c r="AB150" s="979"/>
      <c r="AC150" s="979"/>
      <c r="AD150" s="979"/>
      <c r="AE150" s="979"/>
      <c r="AF150" s="979"/>
      <c r="AG150" s="979"/>
      <c r="AH150" s="979"/>
      <c r="AI150" s="979"/>
      <c r="AJ150" s="979"/>
      <c r="AK150" s="979"/>
    </row>
    <row r="151" spans="27:37" x14ac:dyDescent="0.3">
      <c r="AA151" s="979"/>
      <c r="AB151" s="979"/>
      <c r="AC151" s="979"/>
      <c r="AD151" s="979"/>
      <c r="AE151" s="979"/>
      <c r="AF151" s="979"/>
      <c r="AG151" s="979"/>
      <c r="AH151" s="979"/>
      <c r="AI151" s="979"/>
      <c r="AJ151" s="979"/>
      <c r="AK151" s="979"/>
    </row>
    <row r="152" spans="27:37" x14ac:dyDescent="0.3">
      <c r="AA152" s="979"/>
      <c r="AB152" s="979"/>
      <c r="AC152" s="979"/>
      <c r="AD152" s="979"/>
      <c r="AE152" s="979"/>
      <c r="AF152" s="979"/>
      <c r="AG152" s="979"/>
      <c r="AH152" s="979"/>
      <c r="AI152" s="979"/>
      <c r="AJ152" s="979"/>
      <c r="AK152" s="979"/>
    </row>
    <row r="153" spans="27:37" x14ac:dyDescent="0.3">
      <c r="AA153" s="979"/>
      <c r="AB153" s="979"/>
      <c r="AC153" s="979"/>
      <c r="AD153" s="979"/>
      <c r="AE153" s="979"/>
      <c r="AF153" s="979"/>
      <c r="AG153" s="979"/>
      <c r="AH153" s="979"/>
      <c r="AI153" s="979"/>
      <c r="AJ153" s="979"/>
      <c r="AK153" s="979"/>
    </row>
    <row r="154" spans="27:37" x14ac:dyDescent="0.3">
      <c r="AA154" s="979"/>
      <c r="AB154" s="979"/>
      <c r="AC154" s="979"/>
      <c r="AD154" s="979"/>
      <c r="AE154" s="979"/>
      <c r="AF154" s="979"/>
      <c r="AG154" s="979"/>
      <c r="AH154" s="979"/>
      <c r="AI154" s="979"/>
      <c r="AJ154" s="979"/>
      <c r="AK154" s="979"/>
    </row>
    <row r="155" spans="27:37" x14ac:dyDescent="0.3">
      <c r="AA155" s="979"/>
      <c r="AB155" s="979"/>
      <c r="AC155" s="979"/>
      <c r="AD155" s="979"/>
      <c r="AE155" s="979"/>
      <c r="AF155" s="979"/>
      <c r="AG155" s="979"/>
      <c r="AH155" s="979"/>
      <c r="AI155" s="979"/>
      <c r="AJ155" s="979"/>
      <c r="AK155" s="979"/>
    </row>
    <row r="156" spans="27:37" x14ac:dyDescent="0.3">
      <c r="AA156" s="979"/>
      <c r="AB156" s="979"/>
      <c r="AC156" s="979"/>
      <c r="AD156" s="979"/>
      <c r="AE156" s="979"/>
      <c r="AF156" s="979"/>
      <c r="AG156" s="979"/>
      <c r="AH156" s="979"/>
      <c r="AI156" s="979"/>
      <c r="AJ156" s="979"/>
      <c r="AK156" s="979"/>
    </row>
    <row r="157" spans="27:37" x14ac:dyDescent="0.3">
      <c r="AA157" s="979"/>
      <c r="AB157" s="979"/>
      <c r="AC157" s="979"/>
      <c r="AD157" s="979"/>
      <c r="AE157" s="979"/>
      <c r="AF157" s="979"/>
      <c r="AG157" s="979"/>
      <c r="AH157" s="979"/>
      <c r="AI157" s="979"/>
      <c r="AJ157" s="979"/>
      <c r="AK157" s="979"/>
    </row>
    <row r="158" spans="27:37" x14ac:dyDescent="0.3">
      <c r="AA158" s="979"/>
      <c r="AB158" s="979"/>
      <c r="AC158" s="979"/>
      <c r="AD158" s="979"/>
      <c r="AE158" s="979"/>
      <c r="AF158" s="979"/>
      <c r="AG158" s="979"/>
      <c r="AH158" s="979"/>
      <c r="AI158" s="979"/>
      <c r="AJ158" s="979"/>
      <c r="AK158" s="979"/>
    </row>
    <row r="159" spans="27:37" x14ac:dyDescent="0.3">
      <c r="AA159" s="979"/>
      <c r="AB159" s="979"/>
      <c r="AC159" s="979"/>
      <c r="AD159" s="979"/>
      <c r="AE159" s="979"/>
      <c r="AF159" s="979"/>
      <c r="AG159" s="979"/>
      <c r="AH159" s="979"/>
      <c r="AI159" s="979"/>
      <c r="AJ159" s="979"/>
      <c r="AK159" s="979"/>
    </row>
    <row r="160" spans="27:37" x14ac:dyDescent="0.3">
      <c r="AA160" s="979"/>
      <c r="AB160" s="979"/>
      <c r="AC160" s="979"/>
      <c r="AD160" s="979"/>
      <c r="AE160" s="979"/>
      <c r="AF160" s="979"/>
      <c r="AG160" s="979"/>
      <c r="AH160" s="979"/>
      <c r="AI160" s="979"/>
      <c r="AJ160" s="979"/>
      <c r="AK160" s="979"/>
    </row>
    <row r="161" spans="27:37" x14ac:dyDescent="0.3">
      <c r="AA161" s="979"/>
      <c r="AB161" s="979"/>
      <c r="AC161" s="979"/>
      <c r="AD161" s="979"/>
      <c r="AE161" s="979"/>
      <c r="AF161" s="979"/>
      <c r="AG161" s="979"/>
      <c r="AH161" s="979"/>
      <c r="AI161" s="979"/>
      <c r="AJ161" s="979"/>
      <c r="AK161" s="979"/>
    </row>
    <row r="162" spans="27:37" x14ac:dyDescent="0.3">
      <c r="AA162" s="979"/>
      <c r="AB162" s="979"/>
      <c r="AC162" s="979"/>
      <c r="AD162" s="979"/>
      <c r="AE162" s="979"/>
      <c r="AF162" s="979"/>
      <c r="AG162" s="979"/>
      <c r="AH162" s="979"/>
      <c r="AI162" s="979"/>
      <c r="AJ162" s="979"/>
      <c r="AK162" s="979"/>
    </row>
    <row r="163" spans="27:37" x14ac:dyDescent="0.3">
      <c r="AA163" s="979"/>
      <c r="AB163" s="979"/>
      <c r="AC163" s="979"/>
      <c r="AD163" s="979"/>
      <c r="AE163" s="979"/>
      <c r="AF163" s="979"/>
      <c r="AG163" s="979"/>
      <c r="AH163" s="979"/>
      <c r="AI163" s="979"/>
      <c r="AJ163" s="979"/>
      <c r="AK163" s="979"/>
    </row>
    <row r="164" spans="27:37" x14ac:dyDescent="0.3">
      <c r="AA164" s="979"/>
      <c r="AB164" s="979"/>
      <c r="AC164" s="979"/>
      <c r="AD164" s="979"/>
      <c r="AE164" s="979"/>
      <c r="AF164" s="979"/>
      <c r="AG164" s="979"/>
      <c r="AH164" s="979"/>
      <c r="AI164" s="979"/>
      <c r="AJ164" s="979"/>
      <c r="AK164" s="979"/>
    </row>
    <row r="165" spans="27:37" x14ac:dyDescent="0.3">
      <c r="AA165" s="979"/>
      <c r="AB165" s="979"/>
      <c r="AC165" s="979"/>
      <c r="AD165" s="979"/>
      <c r="AE165" s="979"/>
      <c r="AF165" s="979"/>
      <c r="AG165" s="979"/>
      <c r="AH165" s="979"/>
      <c r="AI165" s="979"/>
      <c r="AJ165" s="979"/>
      <c r="AK165" s="979"/>
    </row>
    <row r="166" spans="27:37" x14ac:dyDescent="0.3">
      <c r="AA166" s="979"/>
      <c r="AB166" s="979"/>
      <c r="AC166" s="979"/>
      <c r="AD166" s="979"/>
      <c r="AE166" s="979"/>
      <c r="AF166" s="979"/>
      <c r="AG166" s="979"/>
      <c r="AH166" s="979"/>
      <c r="AI166" s="979"/>
      <c r="AJ166" s="979"/>
      <c r="AK166" s="979"/>
    </row>
  </sheetData>
  <sortState xmlns:xlrd2="http://schemas.microsoft.com/office/spreadsheetml/2017/richdata2" ref="R7:Y40">
    <sortCondition ref="R7:R40"/>
  </sortState>
  <mergeCells count="184">
    <mergeCell ref="AA59:AK61"/>
    <mergeCell ref="AF57:AG58"/>
    <mergeCell ref="AH57:AI58"/>
    <mergeCell ref="AJ57:AK58"/>
    <mergeCell ref="AJ30:AK34"/>
    <mergeCell ref="AA30:AC34"/>
    <mergeCell ref="AD30:AE34"/>
    <mergeCell ref="AF30:AG34"/>
    <mergeCell ref="AH30:AI34"/>
    <mergeCell ref="AF51:AG52"/>
    <mergeCell ref="AH51:AI52"/>
    <mergeCell ref="AJ51:AK52"/>
    <mergeCell ref="AF53:AG54"/>
    <mergeCell ref="AH53:AI54"/>
    <mergeCell ref="AJ53:AK54"/>
    <mergeCell ref="AF55:AG56"/>
    <mergeCell ref="AH55:AI56"/>
    <mergeCell ref="AJ55:AK56"/>
    <mergeCell ref="AF44:AG45"/>
    <mergeCell ref="AH44:AI45"/>
    <mergeCell ref="AJ44:AK45"/>
    <mergeCell ref="AF46:AG47"/>
    <mergeCell ref="AH46:AI47"/>
    <mergeCell ref="AJ46:AK47"/>
    <mergeCell ref="AF24:AG27"/>
    <mergeCell ref="AH24:AI27"/>
    <mergeCell ref="AJ24:AK27"/>
    <mergeCell ref="AF28:AG29"/>
    <mergeCell ref="AH28:AI29"/>
    <mergeCell ref="AJ28:AK29"/>
    <mergeCell ref="AA44:AC45"/>
    <mergeCell ref="AA46:AC47"/>
    <mergeCell ref="AA48:AC50"/>
    <mergeCell ref="AF48:AG50"/>
    <mergeCell ref="AH48:AI50"/>
    <mergeCell ref="AJ48:AK50"/>
    <mergeCell ref="AF35:AG38"/>
    <mergeCell ref="AH35:AI38"/>
    <mergeCell ref="AJ35:AK38"/>
    <mergeCell ref="AF39:AG40"/>
    <mergeCell ref="AH39:AI40"/>
    <mergeCell ref="AJ39:AK40"/>
    <mergeCell ref="AF41:AG43"/>
    <mergeCell ref="AH41:AI43"/>
    <mergeCell ref="AJ41:AK43"/>
    <mergeCell ref="AA51:AC52"/>
    <mergeCell ref="AA53:AC54"/>
    <mergeCell ref="AA55:AC56"/>
    <mergeCell ref="AA57:AC58"/>
    <mergeCell ref="AD24:AE27"/>
    <mergeCell ref="AD28:AE29"/>
    <mergeCell ref="AD35:AE38"/>
    <mergeCell ref="AD39:AE40"/>
    <mergeCell ref="AD41:AE43"/>
    <mergeCell ref="AD44:AE45"/>
    <mergeCell ref="AD46:AE47"/>
    <mergeCell ref="AD48:AE50"/>
    <mergeCell ref="AD51:AE52"/>
    <mergeCell ref="AD53:AE54"/>
    <mergeCell ref="AD55:AE56"/>
    <mergeCell ref="AD57:AE58"/>
    <mergeCell ref="AA41:AC43"/>
    <mergeCell ref="AA39:AC40"/>
    <mergeCell ref="W27:Y27"/>
    <mergeCell ref="R28:U28"/>
    <mergeCell ref="W28:Y28"/>
    <mergeCell ref="R36:U36"/>
    <mergeCell ref="W36:Y36"/>
    <mergeCell ref="R37:U37"/>
    <mergeCell ref="W37:Y37"/>
    <mergeCell ref="R34:U34"/>
    <mergeCell ref="W34:Y34"/>
    <mergeCell ref="R35:U35"/>
    <mergeCell ref="W35:Y35"/>
    <mergeCell ref="R31:U31"/>
    <mergeCell ref="W31:Y31"/>
    <mergeCell ref="R32:U32"/>
    <mergeCell ref="W32:Y32"/>
    <mergeCell ref="R33:U33"/>
    <mergeCell ref="W33:Y33"/>
    <mergeCell ref="L3:P4"/>
    <mergeCell ref="R3:Y4"/>
    <mergeCell ref="M8:M9"/>
    <mergeCell ref="O6:O7"/>
    <mergeCell ref="O8:O9"/>
    <mergeCell ref="M6:M7"/>
    <mergeCell ref="R8:U8"/>
    <mergeCell ref="R7:U7"/>
    <mergeCell ref="R18:U18"/>
    <mergeCell ref="R9:U9"/>
    <mergeCell ref="R10:U10"/>
    <mergeCell ref="E18:I19"/>
    <mergeCell ref="G7:G8"/>
    <mergeCell ref="G11:G12"/>
    <mergeCell ref="A7:E8"/>
    <mergeCell ref="A11:E12"/>
    <mergeCell ref="A15:E16"/>
    <mergeCell ref="F15:F16"/>
    <mergeCell ref="G15:G16"/>
    <mergeCell ref="R23:U23"/>
    <mergeCell ref="A1:Y1"/>
    <mergeCell ref="W22:Y22"/>
    <mergeCell ref="R22:U22"/>
    <mergeCell ref="W20:Y20"/>
    <mergeCell ref="W21:Y21"/>
    <mergeCell ref="W12:Y12"/>
    <mergeCell ref="W13:Y13"/>
    <mergeCell ref="W14:Y14"/>
    <mergeCell ref="W16:Y16"/>
    <mergeCell ref="R20:U20"/>
    <mergeCell ref="R21:U21"/>
    <mergeCell ref="R13:U13"/>
    <mergeCell ref="R12:U12"/>
    <mergeCell ref="E20:I21"/>
    <mergeCell ref="A20:B21"/>
    <mergeCell ref="C20:C21"/>
    <mergeCell ref="R5:U6"/>
    <mergeCell ref="W5:Y6"/>
    <mergeCell ref="R19:U19"/>
    <mergeCell ref="W9:Y9"/>
    <mergeCell ref="W10:Y10"/>
    <mergeCell ref="W11:Y11"/>
    <mergeCell ref="W17:Y17"/>
    <mergeCell ref="W18:Y18"/>
    <mergeCell ref="AA3:AG4"/>
    <mergeCell ref="AA5:AD6"/>
    <mergeCell ref="AE5:AG6"/>
    <mergeCell ref="AA7:AD7"/>
    <mergeCell ref="AE7:AG7"/>
    <mergeCell ref="A31:D34"/>
    <mergeCell ref="E34:F34"/>
    <mergeCell ref="E33:F33"/>
    <mergeCell ref="A28:E28"/>
    <mergeCell ref="F26:F27"/>
    <mergeCell ref="E32:F32"/>
    <mergeCell ref="E31:F31"/>
    <mergeCell ref="G26:G27"/>
    <mergeCell ref="W19:Y19"/>
    <mergeCell ref="W7:Y7"/>
    <mergeCell ref="W8:Y8"/>
    <mergeCell ref="R14:U14"/>
    <mergeCell ref="R16:U16"/>
    <mergeCell ref="R17:U17"/>
    <mergeCell ref="R11:U11"/>
    <mergeCell ref="F7:F8"/>
    <mergeCell ref="F11:F12"/>
    <mergeCell ref="A18:B19"/>
    <mergeCell ref="C18:C19"/>
    <mergeCell ref="AA11:AD11"/>
    <mergeCell ref="AE11:AG11"/>
    <mergeCell ref="AA12:AD12"/>
    <mergeCell ref="AE12:AG12"/>
    <mergeCell ref="AA13:AD13"/>
    <mergeCell ref="AE13:AG13"/>
    <mergeCell ref="AA8:AD8"/>
    <mergeCell ref="AE8:AG8"/>
    <mergeCell ref="AA9:AD9"/>
    <mergeCell ref="AE9:AG9"/>
    <mergeCell ref="AA10:AD10"/>
    <mergeCell ref="AE10:AG10"/>
    <mergeCell ref="AJ22:AK23"/>
    <mergeCell ref="AA24:AC27"/>
    <mergeCell ref="AA28:AC29"/>
    <mergeCell ref="AA35:AC38"/>
    <mergeCell ref="R15:U15"/>
    <mergeCell ref="W15:Y15"/>
    <mergeCell ref="AA17:AK18"/>
    <mergeCell ref="AA19:AK21"/>
    <mergeCell ref="AA22:AC23"/>
    <mergeCell ref="AD22:AE23"/>
    <mergeCell ref="AF22:AG23"/>
    <mergeCell ref="AH22:AI23"/>
    <mergeCell ref="W23:Y23"/>
    <mergeCell ref="R24:U24"/>
    <mergeCell ref="W24:Y24"/>
    <mergeCell ref="R25:U25"/>
    <mergeCell ref="W25:Y25"/>
    <mergeCell ref="R26:U26"/>
    <mergeCell ref="W26:Y26"/>
    <mergeCell ref="R29:U29"/>
    <mergeCell ref="W29:Y29"/>
    <mergeCell ref="R30:U30"/>
    <mergeCell ref="W30:Y30"/>
    <mergeCell ref="R27:U27"/>
  </mergeCells>
  <conditionalFormatting sqref="F26:F28">
    <cfRule type="expression" dxfId="17" priority="9">
      <formula>$C$18="Line"</formula>
    </cfRule>
  </conditionalFormatting>
  <conditionalFormatting sqref="G26 G28">
    <cfRule type="expression" dxfId="16" priority="8">
      <formula>$C$18="Point"</formula>
    </cfRule>
  </conditionalFormatting>
  <conditionalFormatting sqref="O10:P30">
    <cfRule type="expression" dxfId="15" priority="44">
      <formula>$F$7=0</formula>
    </cfRule>
  </conditionalFormatting>
  <conditionalFormatting sqref="O10:O30">
    <cfRule type="cellIs" dxfId="14" priority="6" operator="lessThan">
      <formula>0</formula>
    </cfRule>
  </conditionalFormatting>
  <conditionalFormatting sqref="M10:M30">
    <cfRule type="expression" dxfId="13" priority="5">
      <formula>$O10&lt;0</formula>
    </cfRule>
  </conditionalFormatting>
  <conditionalFormatting sqref="G15:G16">
    <cfRule type="expression" dxfId="12" priority="4">
      <formula>IF($G$7=0,1,)</formula>
    </cfRule>
  </conditionalFormatting>
  <conditionalFormatting sqref="E31:G34">
    <cfRule type="expression" dxfId="11" priority="3">
      <formula>IF($F$15=0,1,)</formula>
    </cfRule>
  </conditionalFormatting>
  <conditionalFormatting sqref="F26:G28">
    <cfRule type="expression" dxfId="10" priority="2">
      <formula>IF($C$18=0,1,)</formula>
    </cfRule>
  </conditionalFormatting>
  <conditionalFormatting sqref="M10:M30 O10:O30">
    <cfRule type="expression" dxfId="9" priority="1">
      <formula>IF($C$18=0,1,)</formula>
    </cfRule>
  </conditionalFormatting>
  <dataValidations count="5">
    <dataValidation type="list" allowBlank="1" showInputMessage="1" showErrorMessage="1" sqref="C15" xr:uid="{00000000-0002-0000-0200-000000000000}">
      <formula1>$S$9:$T$9</formula1>
    </dataValidation>
    <dataValidation type="list" allowBlank="1" showInputMessage="1" showErrorMessage="1" sqref="G7:G8" xr:uid="{00000000-0002-0000-0200-000001000000}">
      <formula1>$B$37:$B$40</formula1>
    </dataValidation>
    <dataValidation type="list" allowBlank="1" showInputMessage="1" showErrorMessage="1" sqref="G11:G12" xr:uid="{00000000-0002-0000-0200-000002000000}">
      <formula1>$C$37:$C$40</formula1>
    </dataValidation>
    <dataValidation type="list" allowBlank="1" showInputMessage="1" showErrorMessage="1" sqref="C18:C19" xr:uid="{00000000-0002-0000-0200-000003000000}">
      <formula1>$B$41:$C$41</formula1>
    </dataValidation>
    <dataValidation type="list" allowBlank="1" showInputMessage="1" showErrorMessage="1" sqref="C20:C21" xr:uid="{00000000-0002-0000-0200-000004000000}">
      <formula1>$B$43:$C$43</formula1>
    </dataValidation>
  </dataValidations>
  <pageMargins left="0.7" right="0.7" top="0.75" bottom="0.75" header="0.3" footer="0.3"/>
  <pageSetup scale="63" fitToHeight="0" orientation="landscape" r:id="rId1"/>
  <ignoredErrors>
    <ignoredError sqref="F29 E32:F32 F31 F34 F33" evalError="1"/>
  </ignoredError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H47"/>
  <sheetViews>
    <sheetView zoomScaleNormal="100" workbookViewId="0">
      <selection sqref="A1:P1"/>
    </sheetView>
  </sheetViews>
  <sheetFormatPr defaultColWidth="9.21875" defaultRowHeight="13.8" x14ac:dyDescent="0.3"/>
  <cols>
    <col min="1" max="3" width="9.21875" style="759"/>
    <col min="4" max="5" width="3.5546875" style="759" customWidth="1"/>
    <col min="6" max="7" width="9.77734375" style="759" customWidth="1"/>
    <col min="8" max="8" width="2.77734375" style="759" customWidth="1"/>
    <col min="9" max="9" width="22.21875" style="759" customWidth="1"/>
    <col min="10" max="10" width="2.77734375" style="759" customWidth="1"/>
    <col min="11" max="11" width="3.5546875" style="759" customWidth="1"/>
    <col min="12" max="12" width="2.77734375" style="425" customWidth="1"/>
    <col min="13" max="13" width="14.21875" style="759" customWidth="1"/>
    <col min="14" max="14" width="1.77734375" style="425" customWidth="1"/>
    <col min="15" max="15" width="14.21875" style="759" customWidth="1"/>
    <col min="16" max="16" width="2.77734375" style="425" customWidth="1"/>
    <col min="17" max="17" width="3.5546875" style="759" customWidth="1"/>
    <col min="18" max="16384" width="9.21875" style="759"/>
  </cols>
  <sheetData>
    <row r="1" spans="1:34" s="817" customFormat="1" ht="22.5" customHeight="1" x14ac:dyDescent="0.3">
      <c r="A1" s="1292" t="s">
        <v>227</v>
      </c>
      <c r="B1" s="1292"/>
      <c r="C1" s="1292"/>
      <c r="D1" s="1292"/>
      <c r="E1" s="1292"/>
      <c r="F1" s="1292"/>
      <c r="G1" s="1292"/>
      <c r="H1" s="1292"/>
      <c r="I1" s="1292"/>
      <c r="J1" s="1292"/>
      <c r="K1" s="1292"/>
      <c r="L1" s="1292"/>
      <c r="M1" s="1292"/>
      <c r="N1" s="1292"/>
      <c r="O1" s="1292"/>
      <c r="P1" s="1292"/>
      <c r="Q1" s="868"/>
      <c r="R1" s="868"/>
      <c r="S1" s="868"/>
      <c r="T1" s="868"/>
      <c r="U1" s="868"/>
      <c r="V1" s="868"/>
      <c r="W1" s="868"/>
      <c r="X1" s="868"/>
      <c r="Y1" s="868"/>
    </row>
    <row r="2" spans="1:34" ht="7.5" customHeight="1" thickBot="1" x14ac:dyDescent="0.35">
      <c r="A2" s="869"/>
      <c r="B2" s="869"/>
      <c r="C2" s="869"/>
      <c r="D2" s="869"/>
      <c r="E2" s="869"/>
      <c r="F2" s="869"/>
      <c r="G2" s="869"/>
      <c r="H2" s="869"/>
      <c r="I2" s="869"/>
      <c r="J2" s="869"/>
      <c r="K2" s="880"/>
      <c r="L2" s="870"/>
      <c r="M2" s="870"/>
      <c r="N2" s="870"/>
      <c r="O2" s="870"/>
      <c r="P2" s="870"/>
      <c r="Q2" s="880"/>
      <c r="R2" s="880"/>
      <c r="S2" s="880"/>
      <c r="T2" s="880"/>
      <c r="U2" s="880"/>
      <c r="V2" s="880"/>
      <c r="W2" s="880"/>
      <c r="X2" s="880"/>
      <c r="Y2" s="880"/>
      <c r="Z2" s="880"/>
      <c r="AA2" s="880"/>
      <c r="AB2" s="880"/>
      <c r="AC2" s="880"/>
      <c r="AD2" s="880"/>
      <c r="AE2" s="880"/>
      <c r="AF2" s="880"/>
      <c r="AG2" s="880"/>
      <c r="AH2" s="880"/>
    </row>
    <row r="3" spans="1:34" ht="13.5" customHeight="1" thickTop="1" x14ac:dyDescent="0.3">
      <c r="A3" s="865" t="s">
        <v>47</v>
      </c>
      <c r="B3" s="866">
        <f>'Pile Driving Instructions'!$F$37</f>
        <v>45000</v>
      </c>
      <c r="C3" s="867" t="str">
        <f>'Pile Driving Instructions'!$G$37</f>
        <v>LZC</v>
      </c>
      <c r="D3" s="869"/>
      <c r="E3" s="869"/>
      <c r="F3" s="869"/>
      <c r="G3" s="869"/>
      <c r="H3" s="869"/>
      <c r="I3" s="869"/>
      <c r="J3" s="869"/>
      <c r="K3" s="880"/>
      <c r="L3" s="1242" t="s">
        <v>108</v>
      </c>
      <c r="M3" s="1243"/>
      <c r="N3" s="1243"/>
      <c r="O3" s="1243"/>
      <c r="P3" s="1244"/>
      <c r="Q3" s="943"/>
      <c r="R3" s="1185" t="s">
        <v>228</v>
      </c>
      <c r="S3" s="1186"/>
      <c r="T3" s="1186"/>
      <c r="U3" s="1186"/>
      <c r="V3" s="1186"/>
      <c r="W3" s="1186"/>
      <c r="X3" s="1187"/>
      <c r="Y3" s="943"/>
      <c r="Z3" s="943"/>
      <c r="AA3" s="943"/>
      <c r="AB3" s="943"/>
      <c r="AC3" s="943"/>
      <c r="AD3" s="943"/>
      <c r="AE3" s="943"/>
      <c r="AF3" s="943"/>
      <c r="AG3" s="943"/>
      <c r="AH3" s="943"/>
    </row>
    <row r="4" spans="1:34" ht="13.5" customHeight="1" thickBot="1" x14ac:dyDescent="0.35">
      <c r="A4" s="822"/>
      <c r="B4" s="822"/>
      <c r="C4" s="822"/>
      <c r="D4" s="822"/>
      <c r="E4" s="822"/>
      <c r="F4" s="822"/>
      <c r="G4" s="822"/>
      <c r="H4" s="822"/>
      <c r="I4" s="822"/>
      <c r="J4" s="822"/>
      <c r="K4" s="880"/>
      <c r="L4" s="1245"/>
      <c r="M4" s="1246"/>
      <c r="N4" s="1246"/>
      <c r="O4" s="1246"/>
      <c r="P4" s="1247"/>
      <c r="Q4" s="943"/>
      <c r="R4" s="1188"/>
      <c r="S4" s="1189"/>
      <c r="T4" s="1189"/>
      <c r="U4" s="1189"/>
      <c r="V4" s="1189"/>
      <c r="W4" s="1189"/>
      <c r="X4" s="1190"/>
      <c r="Y4" s="943"/>
      <c r="Z4" s="943"/>
      <c r="AA4" s="943"/>
      <c r="AB4" s="943"/>
      <c r="AC4" s="943"/>
      <c r="AD4" s="943"/>
      <c r="AE4" s="943"/>
      <c r="AF4" s="943"/>
      <c r="AG4" s="943"/>
      <c r="AH4" s="943"/>
    </row>
    <row r="5" spans="1:34" ht="14.25" customHeight="1" thickTop="1" thickBot="1" x14ac:dyDescent="0.35">
      <c r="A5" s="779" t="s">
        <v>111</v>
      </c>
      <c r="B5" s="762"/>
      <c r="C5" s="762"/>
      <c r="D5" s="762"/>
      <c r="E5" s="762"/>
      <c r="F5" s="762"/>
      <c r="G5" s="762"/>
      <c r="H5" s="762"/>
      <c r="I5" s="762"/>
      <c r="J5" s="763"/>
      <c r="K5" s="880"/>
      <c r="L5" s="799"/>
      <c r="M5" s="800"/>
      <c r="N5" s="800"/>
      <c r="O5" s="800"/>
      <c r="P5" s="801"/>
      <c r="Q5" s="943"/>
      <c r="R5" s="1191" t="s">
        <v>229</v>
      </c>
      <c r="S5" s="1183"/>
      <c r="T5" s="1183"/>
      <c r="U5" s="1183"/>
      <c r="V5" s="1194" t="s">
        <v>230</v>
      </c>
      <c r="W5" s="1183"/>
      <c r="X5" s="1184"/>
      <c r="Y5" s="943"/>
      <c r="Z5" s="943"/>
      <c r="AA5" s="943"/>
      <c r="AB5" s="943"/>
      <c r="AC5" s="943"/>
      <c r="AD5" s="943"/>
      <c r="AE5" s="943"/>
      <c r="AF5" s="943"/>
      <c r="AG5" s="943"/>
      <c r="AH5" s="943"/>
    </row>
    <row r="6" spans="1:34" ht="14.25" customHeight="1" thickBot="1" x14ac:dyDescent="0.35">
      <c r="A6" s="764"/>
      <c r="B6" s="765"/>
      <c r="C6" s="765"/>
      <c r="D6" s="783"/>
      <c r="E6" s="783"/>
      <c r="F6" s="783"/>
      <c r="G6" s="781" t="s">
        <v>116</v>
      </c>
      <c r="H6" s="782"/>
      <c r="I6" s="770"/>
      <c r="J6" s="766"/>
      <c r="K6" s="880"/>
      <c r="L6" s="799"/>
      <c r="M6" s="1250" t="s">
        <v>117</v>
      </c>
      <c r="N6" s="804"/>
      <c r="O6" s="1250" t="s">
        <v>118</v>
      </c>
      <c r="P6" s="807"/>
      <c r="Q6" s="943"/>
      <c r="R6" s="1192"/>
      <c r="S6" s="1193"/>
      <c r="T6" s="1193"/>
      <c r="U6" s="1193"/>
      <c r="V6" s="1193"/>
      <c r="W6" s="1193"/>
      <c r="X6" s="1195"/>
      <c r="Y6" s="943"/>
      <c r="Z6" s="943"/>
      <c r="AA6" s="943"/>
      <c r="AB6" s="943"/>
      <c r="AC6" s="943"/>
      <c r="AD6" s="943"/>
      <c r="AE6" s="943"/>
      <c r="AF6" s="943"/>
      <c r="AG6" s="943"/>
      <c r="AH6" s="943"/>
    </row>
    <row r="7" spans="1:34" ht="14.25" customHeight="1" x14ac:dyDescent="0.3">
      <c r="A7" s="1236" t="s">
        <v>119</v>
      </c>
      <c r="B7" s="1237"/>
      <c r="C7" s="1237"/>
      <c r="D7" s="1237"/>
      <c r="E7" s="1238"/>
      <c r="F7" s="1213"/>
      <c r="G7" s="1232"/>
      <c r="H7" s="782"/>
      <c r="I7" s="770"/>
      <c r="J7" s="766"/>
      <c r="K7" s="880"/>
      <c r="L7" s="799"/>
      <c r="M7" s="1251"/>
      <c r="N7" s="804"/>
      <c r="O7" s="1251"/>
      <c r="P7" s="807"/>
      <c r="Q7" s="943"/>
      <c r="R7" s="1290" t="s">
        <v>231</v>
      </c>
      <c r="S7" s="1288"/>
      <c r="T7" s="1288"/>
      <c r="U7" s="1288"/>
      <c r="V7" s="1288" t="s">
        <v>232</v>
      </c>
      <c r="W7" s="1288"/>
      <c r="X7" s="1289"/>
      <c r="Y7" s="943"/>
      <c r="Z7" s="943"/>
      <c r="AA7" s="943"/>
      <c r="AB7" s="943"/>
      <c r="AC7" s="943"/>
      <c r="AD7" s="943"/>
      <c r="AE7" s="943"/>
      <c r="AF7" s="943"/>
      <c r="AG7" s="943"/>
      <c r="AH7" s="943"/>
    </row>
    <row r="8" spans="1:34" ht="14.25" customHeight="1" thickBot="1" x14ac:dyDescent="0.35">
      <c r="A8" s="1239"/>
      <c r="B8" s="1240"/>
      <c r="C8" s="1240"/>
      <c r="D8" s="1240"/>
      <c r="E8" s="1241"/>
      <c r="F8" s="1214"/>
      <c r="G8" s="1233"/>
      <c r="H8" s="782"/>
      <c r="I8" s="770"/>
      <c r="J8" s="766"/>
      <c r="K8" s="880"/>
      <c r="L8" s="799"/>
      <c r="M8" s="1248">
        <f>G11</f>
        <v>0</v>
      </c>
      <c r="N8" s="804"/>
      <c r="O8" s="1252">
        <f>G7</f>
        <v>0</v>
      </c>
      <c r="P8" s="808"/>
      <c r="Q8" s="943"/>
      <c r="R8" s="1291"/>
      <c r="S8" s="1288"/>
      <c r="T8" s="1288"/>
      <c r="U8" s="1288"/>
      <c r="V8" s="1288"/>
      <c r="W8" s="1288"/>
      <c r="X8" s="1289"/>
      <c r="Y8" s="943"/>
      <c r="Z8" s="943"/>
      <c r="AA8" s="943"/>
      <c r="AB8" s="943"/>
      <c r="AC8" s="943"/>
      <c r="AD8" s="943"/>
      <c r="AE8" s="943"/>
      <c r="AF8" s="943"/>
      <c r="AG8" s="943"/>
      <c r="AH8" s="943"/>
    </row>
    <row r="9" spans="1:34" ht="14.25" customHeight="1" thickBot="1" x14ac:dyDescent="0.35">
      <c r="A9" s="767"/>
      <c r="B9" s="768"/>
      <c r="C9" s="769"/>
      <c r="D9" s="770"/>
      <c r="E9" s="770"/>
      <c r="F9" s="770"/>
      <c r="G9" s="765"/>
      <c r="H9" s="765"/>
      <c r="I9" s="765"/>
      <c r="J9" s="766"/>
      <c r="K9" s="880"/>
      <c r="L9" s="799"/>
      <c r="M9" s="1249"/>
      <c r="N9" s="804"/>
      <c r="O9" s="1249"/>
      <c r="P9" s="808"/>
      <c r="Q9" s="943"/>
      <c r="R9" s="1290" t="s">
        <v>233</v>
      </c>
      <c r="S9" s="1288"/>
      <c r="T9" s="1288"/>
      <c r="U9" s="1288"/>
      <c r="V9" s="1288" t="s">
        <v>234</v>
      </c>
      <c r="W9" s="1288"/>
      <c r="X9" s="1289"/>
      <c r="Y9" s="943"/>
      <c r="Z9" s="943"/>
      <c r="AA9" s="943"/>
      <c r="AB9" s="943"/>
      <c r="AC9" s="943"/>
      <c r="AD9" s="943"/>
      <c r="AE9" s="943"/>
      <c r="AF9" s="943"/>
      <c r="AG9" s="943"/>
      <c r="AH9" s="943"/>
    </row>
    <row r="10" spans="1:34" ht="14.25" customHeight="1" thickBot="1" x14ac:dyDescent="0.35">
      <c r="A10" s="767"/>
      <c r="B10" s="768"/>
      <c r="C10" s="769"/>
      <c r="D10" s="783"/>
      <c r="E10" s="783"/>
      <c r="F10" s="765"/>
      <c r="G10" s="780" t="s">
        <v>116</v>
      </c>
      <c r="H10" s="782"/>
      <c r="I10" s="765"/>
      <c r="J10" s="766"/>
      <c r="K10" s="880"/>
      <c r="L10" s="799"/>
      <c r="M10" s="811">
        <f>F11</f>
        <v>0</v>
      </c>
      <c r="N10" s="800"/>
      <c r="O10" s="812">
        <f>F7</f>
        <v>0</v>
      </c>
      <c r="P10" s="801"/>
      <c r="Q10" s="945"/>
      <c r="R10" s="1291"/>
      <c r="S10" s="1288"/>
      <c r="T10" s="1288"/>
      <c r="U10" s="1288"/>
      <c r="V10" s="1288"/>
      <c r="W10" s="1288"/>
      <c r="X10" s="1289"/>
      <c r="Y10" s="943"/>
      <c r="Z10" s="943"/>
      <c r="AA10" s="943"/>
      <c r="AB10" s="943"/>
      <c r="AC10" s="943"/>
      <c r="AD10" s="943"/>
      <c r="AE10" s="943"/>
      <c r="AF10" s="943"/>
      <c r="AG10" s="943"/>
      <c r="AH10" s="943"/>
    </row>
    <row r="11" spans="1:34" ht="14.25" customHeight="1" x14ac:dyDescent="0.3">
      <c r="A11" s="1236" t="s">
        <v>129</v>
      </c>
      <c r="B11" s="1237"/>
      <c r="C11" s="1237"/>
      <c r="D11" s="1237"/>
      <c r="E11" s="1238"/>
      <c r="F11" s="1215"/>
      <c r="G11" s="1234"/>
      <c r="H11" s="782"/>
      <c r="I11" s="765"/>
      <c r="J11" s="766"/>
      <c r="K11" s="966"/>
      <c r="L11" s="799"/>
      <c r="M11" s="811">
        <f>M10*2</f>
        <v>0</v>
      </c>
      <c r="N11" s="800"/>
      <c r="O11" s="813">
        <f>O10-4.5</f>
        <v>-4.5</v>
      </c>
      <c r="P11" s="809"/>
      <c r="Q11" s="945"/>
      <c r="R11" s="1290" t="s">
        <v>235</v>
      </c>
      <c r="S11" s="1259"/>
      <c r="T11" s="1259"/>
      <c r="U11" s="1259"/>
      <c r="V11" s="1288" t="s">
        <v>236</v>
      </c>
      <c r="W11" s="1288"/>
      <c r="X11" s="1289"/>
      <c r="Y11" s="943"/>
      <c r="Z11" s="943"/>
      <c r="AA11" s="943"/>
      <c r="AB11" s="943"/>
      <c r="AC11" s="943"/>
      <c r="AD11" s="943"/>
      <c r="AE11" s="943"/>
      <c r="AF11" s="943"/>
      <c r="AG11" s="943"/>
      <c r="AH11" s="943"/>
    </row>
    <row r="12" spans="1:34" ht="14.25" customHeight="1" thickBot="1" x14ac:dyDescent="0.35">
      <c r="A12" s="1239"/>
      <c r="B12" s="1240"/>
      <c r="C12" s="1240"/>
      <c r="D12" s="1240"/>
      <c r="E12" s="1241"/>
      <c r="F12" s="1216"/>
      <c r="G12" s="1235"/>
      <c r="H12" s="782"/>
      <c r="I12" s="765"/>
      <c r="J12" s="766"/>
      <c r="K12" s="966"/>
      <c r="L12" s="799"/>
      <c r="M12" s="811">
        <f t="shared" ref="M12:M30" si="0">M11*2</f>
        <v>0</v>
      </c>
      <c r="N12" s="805"/>
      <c r="O12" s="813">
        <f t="shared" ref="O12:O30" si="1">O11-4.5</f>
        <v>-9</v>
      </c>
      <c r="P12" s="809"/>
      <c r="Q12" s="945"/>
      <c r="R12" s="1290"/>
      <c r="S12" s="1259"/>
      <c r="T12" s="1259"/>
      <c r="U12" s="1259"/>
      <c r="V12" s="1288"/>
      <c r="W12" s="1288"/>
      <c r="X12" s="1289"/>
      <c r="Y12" s="943"/>
      <c r="Z12" s="943"/>
      <c r="AA12" s="943"/>
      <c r="AB12" s="943"/>
      <c r="AC12" s="943"/>
      <c r="AD12" s="943"/>
      <c r="AE12" s="943"/>
      <c r="AF12" s="943"/>
      <c r="AG12" s="943"/>
      <c r="AH12" s="943"/>
    </row>
    <row r="13" spans="1:34" ht="14.25" customHeight="1" thickBot="1" x14ac:dyDescent="0.35">
      <c r="A13" s="819"/>
      <c r="B13" s="820"/>
      <c r="C13" s="820"/>
      <c r="D13" s="820"/>
      <c r="E13" s="820"/>
      <c r="F13" s="769"/>
      <c r="G13" s="770"/>
      <c r="H13" s="770"/>
      <c r="I13" s="765"/>
      <c r="J13" s="766"/>
      <c r="K13" s="966"/>
      <c r="L13" s="802"/>
      <c r="M13" s="811">
        <f t="shared" si="0"/>
        <v>0</v>
      </c>
      <c r="N13" s="805"/>
      <c r="O13" s="813">
        <f t="shared" si="1"/>
        <v>-13.5</v>
      </c>
      <c r="P13" s="809"/>
      <c r="Q13" s="945"/>
      <c r="R13" s="1290" t="s">
        <v>237</v>
      </c>
      <c r="S13" s="1288"/>
      <c r="T13" s="1288"/>
      <c r="U13" s="1288"/>
      <c r="V13" s="1288" t="s">
        <v>236</v>
      </c>
      <c r="W13" s="1288"/>
      <c r="X13" s="1289"/>
      <c r="Y13" s="943"/>
      <c r="Z13" s="943"/>
      <c r="AA13" s="943"/>
      <c r="AB13" s="943"/>
      <c r="AC13" s="943"/>
      <c r="AD13" s="943"/>
      <c r="AE13" s="943"/>
      <c r="AF13" s="943"/>
      <c r="AG13" s="943"/>
      <c r="AH13" s="943"/>
    </row>
    <row r="14" spans="1:34" s="425" customFormat="1" ht="14.25" customHeight="1" thickBot="1" x14ac:dyDescent="0.35">
      <c r="A14" s="771"/>
      <c r="B14" s="772"/>
      <c r="C14" s="773"/>
      <c r="D14" s="765"/>
      <c r="E14" s="765"/>
      <c r="F14" s="765"/>
      <c r="G14" s="781" t="s">
        <v>116</v>
      </c>
      <c r="H14" s="765"/>
      <c r="I14" s="765"/>
      <c r="J14" s="766"/>
      <c r="K14" s="966"/>
      <c r="L14" s="802"/>
      <c r="M14" s="811">
        <f t="shared" si="0"/>
        <v>0</v>
      </c>
      <c r="N14" s="805"/>
      <c r="O14" s="813">
        <f t="shared" si="1"/>
        <v>-18</v>
      </c>
      <c r="P14" s="809"/>
      <c r="Q14" s="946"/>
      <c r="R14" s="1291"/>
      <c r="S14" s="1288"/>
      <c r="T14" s="1288"/>
      <c r="U14" s="1288"/>
      <c r="V14" s="1288"/>
      <c r="W14" s="1288"/>
      <c r="X14" s="1289"/>
      <c r="Y14" s="947"/>
      <c r="Z14" s="947"/>
      <c r="AA14" s="947"/>
      <c r="AB14" s="947"/>
      <c r="AC14" s="947"/>
      <c r="AD14" s="947"/>
      <c r="AE14" s="947"/>
      <c r="AF14" s="947"/>
      <c r="AG14" s="947"/>
      <c r="AH14" s="947"/>
    </row>
    <row r="15" spans="1:34" ht="14.25" customHeight="1" x14ac:dyDescent="0.3">
      <c r="A15" s="1236" t="s">
        <v>138</v>
      </c>
      <c r="B15" s="1237"/>
      <c r="C15" s="1237"/>
      <c r="D15" s="1237"/>
      <c r="E15" s="1238"/>
      <c r="F15" s="1215"/>
      <c r="G15" s="1234">
        <f>G7</f>
        <v>0</v>
      </c>
      <c r="H15" s="782"/>
      <c r="I15" s="765"/>
      <c r="J15" s="821"/>
      <c r="K15" s="757"/>
      <c r="L15" s="802"/>
      <c r="M15" s="811">
        <f t="shared" si="0"/>
        <v>0</v>
      </c>
      <c r="N15" s="805"/>
      <c r="O15" s="813">
        <f t="shared" si="1"/>
        <v>-22.5</v>
      </c>
      <c r="P15" s="809"/>
      <c r="Q15" s="943"/>
      <c r="R15" s="1291" t="s">
        <v>238</v>
      </c>
      <c r="S15" s="1288"/>
      <c r="T15" s="1288"/>
      <c r="U15" s="1288"/>
      <c r="V15" s="1288" t="s">
        <v>239</v>
      </c>
      <c r="W15" s="1288"/>
      <c r="X15" s="1289"/>
      <c r="Y15" s="943"/>
      <c r="Z15" s="943"/>
      <c r="AA15" s="943"/>
      <c r="AB15" s="943"/>
      <c r="AC15" s="943"/>
      <c r="AD15" s="943"/>
      <c r="AE15" s="943"/>
      <c r="AF15" s="943"/>
      <c r="AG15" s="943"/>
      <c r="AH15" s="943"/>
    </row>
    <row r="16" spans="1:34" ht="14.25" customHeight="1" thickBot="1" x14ac:dyDescent="0.35">
      <c r="A16" s="1239"/>
      <c r="B16" s="1240"/>
      <c r="C16" s="1240"/>
      <c r="D16" s="1240"/>
      <c r="E16" s="1241"/>
      <c r="F16" s="1216"/>
      <c r="G16" s="1235"/>
      <c r="H16" s="782"/>
      <c r="I16" s="765"/>
      <c r="J16" s="821"/>
      <c r="K16" s="880"/>
      <c r="L16" s="802"/>
      <c r="M16" s="811">
        <f t="shared" si="0"/>
        <v>0</v>
      </c>
      <c r="N16" s="805"/>
      <c r="O16" s="813">
        <f t="shared" si="1"/>
        <v>-27</v>
      </c>
      <c r="P16" s="809"/>
      <c r="Q16" s="943"/>
      <c r="R16" s="1291"/>
      <c r="S16" s="1288"/>
      <c r="T16" s="1288"/>
      <c r="U16" s="1288"/>
      <c r="V16" s="1288"/>
      <c r="W16" s="1288"/>
      <c r="X16" s="1289"/>
      <c r="Y16" s="943"/>
      <c r="Z16" s="943"/>
      <c r="AA16" s="943"/>
      <c r="AB16" s="943"/>
      <c r="AC16" s="943"/>
      <c r="AD16" s="943"/>
      <c r="AE16" s="943"/>
      <c r="AF16" s="943"/>
      <c r="AG16" s="943"/>
      <c r="AH16" s="943"/>
    </row>
    <row r="17" spans="1:34" ht="14.25" customHeight="1" thickBot="1" x14ac:dyDescent="0.35">
      <c r="A17" s="774"/>
      <c r="B17" s="775"/>
      <c r="C17" s="776"/>
      <c r="D17" s="777"/>
      <c r="E17" s="775"/>
      <c r="F17" s="775"/>
      <c r="G17" s="775"/>
      <c r="H17" s="775"/>
      <c r="I17" s="775"/>
      <c r="J17" s="778"/>
      <c r="K17" s="880"/>
      <c r="L17" s="802"/>
      <c r="M17" s="811">
        <f t="shared" si="0"/>
        <v>0</v>
      </c>
      <c r="N17" s="800"/>
      <c r="O17" s="813">
        <f t="shared" si="1"/>
        <v>-31.5</v>
      </c>
      <c r="P17" s="809"/>
      <c r="Q17" s="943"/>
      <c r="R17" s="955" t="s">
        <v>240</v>
      </c>
      <c r="S17" s="949" t="s">
        <v>241</v>
      </c>
      <c r="T17" s="950"/>
      <c r="U17" s="950"/>
      <c r="V17" s="950"/>
      <c r="W17" s="968"/>
      <c r="X17" s="969"/>
      <c r="Y17" s="943"/>
      <c r="Z17" s="943"/>
      <c r="AA17" s="943"/>
      <c r="AB17" s="943"/>
      <c r="AC17" s="943"/>
      <c r="AD17" s="943"/>
      <c r="AE17" s="943"/>
      <c r="AF17" s="943"/>
      <c r="AG17" s="943"/>
      <c r="AH17" s="943"/>
    </row>
    <row r="18" spans="1:34" ht="14.25" customHeight="1" thickTop="1" x14ac:dyDescent="0.3">
      <c r="A18" s="757"/>
      <c r="B18" s="757"/>
      <c r="C18" s="760"/>
      <c r="D18" s="758"/>
      <c r="E18" s="757"/>
      <c r="F18" s="757"/>
      <c r="G18" s="757"/>
      <c r="H18" s="757"/>
      <c r="I18" s="757"/>
      <c r="J18" s="757"/>
      <c r="K18" s="880"/>
      <c r="L18" s="799"/>
      <c r="M18" s="811">
        <f t="shared" si="0"/>
        <v>0</v>
      </c>
      <c r="N18" s="800"/>
      <c r="O18" s="813">
        <f t="shared" si="1"/>
        <v>-36</v>
      </c>
      <c r="P18" s="809"/>
      <c r="Q18" s="943"/>
      <c r="R18" s="951"/>
      <c r="S18" s="949" t="s">
        <v>242</v>
      </c>
      <c r="T18" s="950"/>
      <c r="U18" s="950"/>
      <c r="V18" s="950"/>
      <c r="W18" s="968"/>
      <c r="X18" s="969"/>
      <c r="Y18" s="943"/>
      <c r="Z18" s="943"/>
      <c r="AA18" s="943"/>
      <c r="AB18" s="943"/>
      <c r="AC18" s="943"/>
      <c r="AD18" s="943"/>
      <c r="AE18" s="943"/>
      <c r="AF18" s="943"/>
      <c r="AG18" s="943"/>
      <c r="AH18" s="943"/>
    </row>
    <row r="19" spans="1:34" ht="14.25" customHeight="1" thickBot="1" x14ac:dyDescent="0.35">
      <c r="A19" s="757"/>
      <c r="B19" s="757"/>
      <c r="C19" s="760"/>
      <c r="D19" s="880"/>
      <c r="E19" s="966"/>
      <c r="F19" s="966"/>
      <c r="G19" s="966"/>
      <c r="H19" s="966"/>
      <c r="I19" s="966"/>
      <c r="J19" s="966"/>
      <c r="K19" s="880"/>
      <c r="L19" s="799"/>
      <c r="M19" s="811">
        <f t="shared" si="0"/>
        <v>0</v>
      </c>
      <c r="N19" s="800"/>
      <c r="O19" s="813">
        <f t="shared" si="1"/>
        <v>-40.5</v>
      </c>
      <c r="P19" s="809"/>
      <c r="Q19" s="943"/>
      <c r="R19" s="952"/>
      <c r="S19" s="953" t="s">
        <v>243</v>
      </c>
      <c r="T19" s="954"/>
      <c r="U19" s="954"/>
      <c r="V19" s="954"/>
      <c r="W19" s="814"/>
      <c r="X19" s="815"/>
      <c r="Y19" s="943"/>
      <c r="Z19" s="943"/>
      <c r="AA19" s="943"/>
      <c r="AB19" s="943"/>
      <c r="AC19" s="943"/>
      <c r="AD19" s="943"/>
      <c r="AE19" s="943"/>
      <c r="AF19" s="943"/>
      <c r="AG19" s="943"/>
      <c r="AH19" s="943"/>
    </row>
    <row r="20" spans="1:34" ht="14.25" customHeight="1" thickTop="1" thickBot="1" x14ac:dyDescent="0.35">
      <c r="A20" s="798" t="s">
        <v>165</v>
      </c>
      <c r="B20" s="785"/>
      <c r="C20" s="786"/>
      <c r="D20" s="787"/>
      <c r="E20" s="785"/>
      <c r="F20" s="913">
        <f>$F$11*(10^(($F$7-$F$15)/15))</f>
        <v>0</v>
      </c>
      <c r="G20" s="912">
        <f>$G$11</f>
        <v>0</v>
      </c>
      <c r="H20" s="791"/>
      <c r="I20" s="757"/>
      <c r="J20" s="757"/>
      <c r="K20" s="880"/>
      <c r="L20" s="799"/>
      <c r="M20" s="811">
        <f t="shared" si="0"/>
        <v>0</v>
      </c>
      <c r="N20" s="800"/>
      <c r="O20" s="813">
        <f t="shared" si="1"/>
        <v>-45</v>
      </c>
      <c r="P20" s="809"/>
      <c r="Q20" s="943"/>
      <c r="R20" s="943"/>
      <c r="S20" s="943"/>
      <c r="T20" s="943"/>
      <c r="U20" s="943"/>
      <c r="V20" s="943"/>
      <c r="W20" s="943"/>
      <c r="X20" s="943"/>
      <c r="Y20" s="943"/>
      <c r="Z20" s="943"/>
      <c r="AA20" s="943"/>
      <c r="AB20" s="943"/>
      <c r="AC20" s="943"/>
      <c r="AD20" s="943"/>
      <c r="AE20" s="943"/>
      <c r="AF20" s="943"/>
      <c r="AG20" s="943"/>
      <c r="AH20" s="943"/>
    </row>
    <row r="21" spans="1:34" ht="14.25" customHeight="1" thickBot="1" x14ac:dyDescent="0.35">
      <c r="A21" s="906"/>
      <c r="B21" s="907"/>
      <c r="C21" s="908"/>
      <c r="D21" s="789"/>
      <c r="E21" s="907"/>
      <c r="F21" s="789"/>
      <c r="G21" s="871" t="s">
        <v>116</v>
      </c>
      <c r="H21" s="901"/>
      <c r="I21" s="880"/>
      <c r="J21" s="880"/>
      <c r="K21" s="880"/>
      <c r="L21" s="799"/>
      <c r="M21" s="811">
        <f t="shared" si="0"/>
        <v>0</v>
      </c>
      <c r="N21" s="800"/>
      <c r="O21" s="813">
        <f t="shared" si="1"/>
        <v>-49.5</v>
      </c>
      <c r="P21" s="809"/>
      <c r="Q21" s="943"/>
      <c r="R21" s="943"/>
      <c r="S21" s="943"/>
      <c r="T21" s="943"/>
      <c r="U21" s="943"/>
      <c r="V21" s="943"/>
      <c r="W21" s="943"/>
      <c r="X21" s="943"/>
      <c r="Y21" s="943"/>
      <c r="Z21" s="943"/>
      <c r="AA21" s="943"/>
      <c r="AB21" s="943"/>
      <c r="AC21" s="943"/>
      <c r="AD21" s="943"/>
      <c r="AE21" s="943"/>
      <c r="AF21" s="943"/>
      <c r="AG21" s="943"/>
      <c r="AH21" s="943"/>
    </row>
    <row r="22" spans="1:34" ht="14.25" customHeight="1" thickTop="1" x14ac:dyDescent="0.3">
      <c r="A22" s="1196" t="s">
        <v>244</v>
      </c>
      <c r="B22" s="1197"/>
      <c r="C22" s="1197"/>
      <c r="D22" s="1197"/>
      <c r="E22" s="1211">
        <f>IF(G20="m",(F20),(F20*0.3048))</f>
        <v>0</v>
      </c>
      <c r="F22" s="1212"/>
      <c r="G22" s="909" t="s">
        <v>183</v>
      </c>
      <c r="H22" s="901"/>
      <c r="I22" s="880"/>
      <c r="J22" s="880"/>
      <c r="K22" s="880"/>
      <c r="L22" s="799"/>
      <c r="M22" s="811">
        <f t="shared" si="0"/>
        <v>0</v>
      </c>
      <c r="N22" s="800"/>
      <c r="O22" s="813">
        <f t="shared" si="1"/>
        <v>-54</v>
      </c>
      <c r="P22" s="809"/>
      <c r="Q22" s="943"/>
      <c r="R22" s="943"/>
      <c r="S22" s="943"/>
      <c r="T22" s="943"/>
      <c r="U22" s="943"/>
      <c r="V22" s="943"/>
      <c r="W22" s="943"/>
      <c r="X22" s="943"/>
      <c r="Y22" s="943"/>
      <c r="Z22" s="943"/>
      <c r="AA22" s="943"/>
      <c r="AB22" s="943"/>
      <c r="AC22" s="943"/>
      <c r="AD22" s="943"/>
      <c r="AE22" s="943"/>
      <c r="AF22" s="943"/>
      <c r="AG22" s="943"/>
      <c r="AH22" s="943"/>
    </row>
    <row r="23" spans="1:34" ht="14.25" customHeight="1" x14ac:dyDescent="0.3">
      <c r="A23" s="1198"/>
      <c r="B23" s="1199"/>
      <c r="C23" s="1199"/>
      <c r="D23" s="1199"/>
      <c r="E23" s="1293">
        <f>E22/1000</f>
        <v>0</v>
      </c>
      <c r="F23" s="1294"/>
      <c r="G23" s="910" t="s">
        <v>185</v>
      </c>
      <c r="H23" s="901"/>
      <c r="I23" s="880"/>
      <c r="J23" s="880"/>
      <c r="K23" s="880"/>
      <c r="L23" s="799"/>
      <c r="M23" s="811">
        <f t="shared" si="0"/>
        <v>0</v>
      </c>
      <c r="N23" s="800"/>
      <c r="O23" s="813">
        <f t="shared" si="1"/>
        <v>-58.5</v>
      </c>
      <c r="P23" s="809"/>
      <c r="Q23" s="943"/>
      <c r="R23" s="943"/>
      <c r="S23" s="943"/>
      <c r="T23" s="943"/>
      <c r="U23" s="943"/>
      <c r="V23" s="943"/>
      <c r="W23" s="943"/>
      <c r="X23" s="943"/>
      <c r="Y23" s="943"/>
      <c r="Z23" s="943"/>
      <c r="AA23" s="943"/>
      <c r="AB23" s="943"/>
      <c r="AC23" s="943"/>
      <c r="AD23" s="943"/>
      <c r="AE23" s="943"/>
      <c r="AF23" s="943"/>
      <c r="AG23" s="943"/>
      <c r="AH23" s="943"/>
    </row>
    <row r="24" spans="1:34" ht="14.25" customHeight="1" x14ac:dyDescent="0.3">
      <c r="A24" s="1198"/>
      <c r="B24" s="1199"/>
      <c r="C24" s="1199"/>
      <c r="D24" s="1199"/>
      <c r="E24" s="1204">
        <f>IF(G20="ft",(F20),(F20*3.281))</f>
        <v>0</v>
      </c>
      <c r="F24" s="1205"/>
      <c r="G24" s="910" t="s">
        <v>187</v>
      </c>
      <c r="H24" s="901"/>
      <c r="I24" s="880"/>
      <c r="J24" s="880"/>
      <c r="K24" s="880"/>
      <c r="L24" s="799"/>
      <c r="M24" s="811">
        <f t="shared" si="0"/>
        <v>0</v>
      </c>
      <c r="N24" s="800"/>
      <c r="O24" s="813">
        <f t="shared" si="1"/>
        <v>-63</v>
      </c>
      <c r="P24" s="809"/>
      <c r="Q24" s="943"/>
      <c r="R24" s="943"/>
      <c r="S24" s="943"/>
      <c r="T24" s="943"/>
      <c r="U24" s="943"/>
      <c r="V24" s="943"/>
      <c r="W24" s="943"/>
      <c r="X24" s="943"/>
      <c r="Y24" s="943"/>
      <c r="Z24" s="943"/>
      <c r="AA24" s="943"/>
      <c r="AB24" s="943"/>
      <c r="AC24" s="943"/>
      <c r="AD24" s="943"/>
      <c r="AE24" s="943"/>
      <c r="AF24" s="943"/>
      <c r="AG24" s="943"/>
      <c r="AH24" s="943"/>
    </row>
    <row r="25" spans="1:34" ht="14.25" customHeight="1" thickBot="1" x14ac:dyDescent="0.35">
      <c r="A25" s="1200"/>
      <c r="B25" s="1201"/>
      <c r="C25" s="1201"/>
      <c r="D25" s="1201"/>
      <c r="E25" s="1295">
        <f>E24/5280</f>
        <v>0</v>
      </c>
      <c r="F25" s="1296"/>
      <c r="G25" s="911" t="s">
        <v>189</v>
      </c>
      <c r="H25" s="901"/>
      <c r="I25" s="880"/>
      <c r="J25" s="880"/>
      <c r="K25" s="880"/>
      <c r="L25" s="799"/>
      <c r="M25" s="811">
        <f t="shared" si="0"/>
        <v>0</v>
      </c>
      <c r="N25" s="800"/>
      <c r="O25" s="813">
        <f t="shared" si="1"/>
        <v>-67.5</v>
      </c>
      <c r="P25" s="809"/>
      <c r="Q25" s="943"/>
      <c r="R25" s="943"/>
      <c r="S25" s="943"/>
      <c r="T25" s="943"/>
      <c r="U25" s="943"/>
      <c r="V25" s="943"/>
      <c r="W25" s="943"/>
      <c r="X25" s="943"/>
      <c r="Y25" s="943"/>
      <c r="Z25" s="943"/>
      <c r="AA25" s="943"/>
      <c r="AB25" s="943"/>
      <c r="AC25" s="943"/>
      <c r="AD25" s="943"/>
      <c r="AE25" s="943"/>
      <c r="AF25" s="943"/>
      <c r="AG25" s="943"/>
      <c r="AH25" s="943"/>
    </row>
    <row r="26" spans="1:34" ht="14.25" customHeight="1" thickTop="1" thickBot="1" x14ac:dyDescent="0.35">
      <c r="A26" s="902"/>
      <c r="B26" s="903"/>
      <c r="C26" s="904"/>
      <c r="D26" s="795"/>
      <c r="E26" s="903"/>
      <c r="F26" s="903"/>
      <c r="G26" s="903"/>
      <c r="H26" s="905"/>
      <c r="I26" s="880"/>
      <c r="J26" s="880"/>
      <c r="K26" s="880"/>
      <c r="L26" s="799"/>
      <c r="M26" s="811">
        <f t="shared" si="0"/>
        <v>0</v>
      </c>
      <c r="N26" s="800"/>
      <c r="O26" s="813">
        <f t="shared" si="1"/>
        <v>-72</v>
      </c>
      <c r="P26" s="809"/>
      <c r="Q26" s="943"/>
      <c r="R26" s="943"/>
      <c r="S26" s="943"/>
      <c r="T26" s="943"/>
      <c r="U26" s="943"/>
      <c r="V26" s="943"/>
      <c r="W26" s="943"/>
      <c r="X26" s="943"/>
      <c r="Y26" s="943"/>
      <c r="Z26" s="943"/>
      <c r="AA26" s="943"/>
      <c r="AB26" s="943"/>
      <c r="AC26" s="943"/>
      <c r="AD26" s="943"/>
      <c r="AE26" s="943"/>
      <c r="AF26" s="943"/>
      <c r="AG26" s="943"/>
      <c r="AH26" s="943"/>
    </row>
    <row r="27" spans="1:34" ht="14.25" customHeight="1" thickTop="1" x14ac:dyDescent="0.3">
      <c r="A27" s="880"/>
      <c r="B27" s="880"/>
      <c r="C27" s="880"/>
      <c r="D27" s="880"/>
      <c r="E27" s="880"/>
      <c r="F27" s="880"/>
      <c r="G27" s="880"/>
      <c r="H27" s="880"/>
      <c r="I27" s="880"/>
      <c r="J27" s="880"/>
      <c r="K27" s="880"/>
      <c r="L27" s="799"/>
      <c r="M27" s="811">
        <f t="shared" si="0"/>
        <v>0</v>
      </c>
      <c r="N27" s="800"/>
      <c r="O27" s="813">
        <f t="shared" si="1"/>
        <v>-76.5</v>
      </c>
      <c r="P27" s="809"/>
      <c r="Q27" s="943"/>
      <c r="R27" s="943"/>
      <c r="S27" s="943"/>
      <c r="T27" s="943"/>
      <c r="U27" s="943"/>
      <c r="V27" s="943"/>
      <c r="W27" s="943"/>
      <c r="X27" s="943"/>
      <c r="Y27" s="943"/>
      <c r="Z27" s="943"/>
      <c r="AA27" s="943"/>
      <c r="AB27" s="943"/>
      <c r="AC27" s="943"/>
      <c r="AD27" s="943"/>
      <c r="AE27" s="943"/>
      <c r="AF27" s="943"/>
      <c r="AG27" s="943"/>
      <c r="AH27" s="943"/>
    </row>
    <row r="28" spans="1:34" ht="14.25" customHeight="1" x14ac:dyDescent="0.3">
      <c r="A28" s="880"/>
      <c r="B28" s="761" t="s">
        <v>195</v>
      </c>
      <c r="C28" s="916" t="s">
        <v>183</v>
      </c>
      <c r="D28" s="880"/>
      <c r="E28" s="880"/>
      <c r="F28" s="880"/>
      <c r="G28" s="880"/>
      <c r="H28" s="880"/>
      <c r="I28" s="880"/>
      <c r="J28" s="880"/>
      <c r="K28" s="880"/>
      <c r="L28" s="799"/>
      <c r="M28" s="811">
        <f t="shared" si="0"/>
        <v>0</v>
      </c>
      <c r="N28" s="800"/>
      <c r="O28" s="813">
        <f t="shared" si="1"/>
        <v>-81</v>
      </c>
      <c r="P28" s="809"/>
      <c r="Q28" s="943"/>
      <c r="R28" s="943"/>
      <c r="S28" s="943"/>
      <c r="T28" s="943"/>
      <c r="U28" s="943"/>
      <c r="V28" s="943"/>
      <c r="W28" s="943"/>
      <c r="X28" s="943"/>
      <c r="Y28" s="943"/>
      <c r="Z28" s="943"/>
      <c r="AA28" s="943"/>
      <c r="AB28" s="943"/>
      <c r="AC28" s="943"/>
      <c r="AD28" s="943"/>
      <c r="AE28" s="943"/>
      <c r="AF28" s="943"/>
      <c r="AG28" s="943"/>
      <c r="AH28" s="943"/>
    </row>
    <row r="29" spans="1:34" ht="14.25" customHeight="1" x14ac:dyDescent="0.3">
      <c r="A29" s="758"/>
      <c r="B29" s="917" t="s">
        <v>197</v>
      </c>
      <c r="C29" s="917" t="s">
        <v>187</v>
      </c>
      <c r="D29" s="758"/>
      <c r="E29" s="758"/>
      <c r="F29" s="758"/>
      <c r="G29" s="758"/>
      <c r="H29" s="758"/>
      <c r="I29" s="880"/>
      <c r="J29" s="880"/>
      <c r="K29" s="880"/>
      <c r="L29" s="799"/>
      <c r="M29" s="811">
        <f t="shared" si="0"/>
        <v>0</v>
      </c>
      <c r="N29" s="800"/>
      <c r="O29" s="813">
        <f t="shared" si="1"/>
        <v>-85.5</v>
      </c>
      <c r="P29" s="809"/>
      <c r="Q29" s="943"/>
      <c r="R29" s="943"/>
      <c r="S29" s="943"/>
      <c r="T29" s="943"/>
      <c r="U29" s="943"/>
      <c r="V29" s="943"/>
      <c r="W29" s="943"/>
      <c r="X29" s="943"/>
      <c r="Y29" s="943"/>
      <c r="Z29" s="943"/>
      <c r="AA29" s="943"/>
      <c r="AB29" s="943"/>
      <c r="AC29" s="943"/>
      <c r="AD29" s="943"/>
      <c r="AE29" s="943"/>
      <c r="AF29" s="943"/>
      <c r="AG29" s="943"/>
      <c r="AH29" s="943"/>
    </row>
    <row r="30" spans="1:34" ht="14.25" customHeight="1" x14ac:dyDescent="0.3">
      <c r="A30" s="758"/>
      <c r="B30" s="917" t="s">
        <v>198</v>
      </c>
      <c r="C30" s="917" t="s">
        <v>185</v>
      </c>
      <c r="D30" s="758"/>
      <c r="E30" s="758"/>
      <c r="F30" s="758"/>
      <c r="G30" s="896"/>
      <c r="H30" s="758"/>
      <c r="I30" s="880"/>
      <c r="J30" s="880"/>
      <c r="K30" s="880"/>
      <c r="L30" s="799"/>
      <c r="M30" s="811">
        <f t="shared" si="0"/>
        <v>0</v>
      </c>
      <c r="N30" s="800"/>
      <c r="O30" s="813">
        <f t="shared" si="1"/>
        <v>-90</v>
      </c>
      <c r="P30" s="809"/>
      <c r="Q30" s="943"/>
      <c r="R30" s="943"/>
      <c r="S30" s="943"/>
      <c r="T30" s="943"/>
      <c r="U30" s="943"/>
      <c r="V30" s="943"/>
      <c r="W30" s="943"/>
      <c r="X30" s="943"/>
      <c r="Y30" s="943"/>
      <c r="Z30" s="943"/>
      <c r="AA30" s="943"/>
      <c r="AB30" s="943"/>
      <c r="AC30" s="943"/>
      <c r="AD30" s="943"/>
      <c r="AE30" s="943"/>
      <c r="AF30" s="943"/>
      <c r="AG30" s="943"/>
      <c r="AH30" s="943"/>
    </row>
    <row r="31" spans="1:34" ht="14.25" customHeight="1" thickBot="1" x14ac:dyDescent="0.35">
      <c r="A31" s="757"/>
      <c r="B31" s="916" t="s">
        <v>203</v>
      </c>
      <c r="C31" s="916" t="s">
        <v>189</v>
      </c>
      <c r="D31" s="757"/>
      <c r="E31" s="757"/>
      <c r="F31" s="897"/>
      <c r="G31" s="758"/>
      <c r="H31" s="758"/>
      <c r="I31" s="880"/>
      <c r="J31" s="880"/>
      <c r="K31" s="880"/>
      <c r="L31" s="803"/>
      <c r="M31" s="806"/>
      <c r="N31" s="806"/>
      <c r="O31" s="806"/>
      <c r="P31" s="810"/>
      <c r="Q31" s="943"/>
      <c r="R31" s="943"/>
      <c r="S31" s="943"/>
      <c r="T31" s="943"/>
      <c r="U31" s="943"/>
      <c r="V31" s="943"/>
      <c r="W31" s="943"/>
      <c r="X31" s="943"/>
      <c r="Y31" s="943"/>
      <c r="Z31" s="943"/>
      <c r="AA31" s="943"/>
      <c r="AB31" s="943"/>
      <c r="AC31" s="943"/>
      <c r="AD31" s="943"/>
      <c r="AE31" s="943"/>
      <c r="AF31" s="943"/>
      <c r="AG31" s="943"/>
      <c r="AH31" s="943"/>
    </row>
    <row r="32" spans="1:34" ht="14.25" customHeight="1" thickTop="1" x14ac:dyDescent="0.3">
      <c r="A32" s="757"/>
      <c r="B32" s="761"/>
      <c r="C32" s="761"/>
      <c r="D32" s="757"/>
      <c r="E32" s="757"/>
      <c r="F32" s="897"/>
      <c r="G32" s="758"/>
      <c r="H32" s="758"/>
      <c r="I32" s="880"/>
      <c r="J32" s="880"/>
      <c r="K32" s="880"/>
      <c r="M32" s="880"/>
      <c r="O32" s="880"/>
      <c r="Q32" s="943"/>
      <c r="R32" s="943"/>
      <c r="S32" s="943"/>
      <c r="T32" s="943"/>
      <c r="U32" s="943"/>
      <c r="V32" s="943"/>
      <c r="W32" s="943"/>
      <c r="X32" s="943"/>
      <c r="Y32" s="943"/>
      <c r="Z32" s="943"/>
      <c r="AA32" s="943"/>
      <c r="AB32" s="943"/>
      <c r="AC32" s="943"/>
      <c r="AD32" s="943"/>
      <c r="AE32" s="943"/>
      <c r="AF32" s="943"/>
      <c r="AG32" s="943"/>
      <c r="AH32" s="943"/>
    </row>
    <row r="33" spans="1:34" ht="14.25" customHeight="1" x14ac:dyDescent="0.3">
      <c r="A33" s="758"/>
      <c r="B33" s="761"/>
      <c r="C33" s="761"/>
      <c r="D33" s="758"/>
      <c r="E33" s="758"/>
      <c r="F33" s="758"/>
      <c r="G33" s="758"/>
      <c r="H33" s="758"/>
      <c r="I33" s="880"/>
      <c r="J33" s="880"/>
      <c r="K33" s="880"/>
      <c r="M33" s="880"/>
      <c r="O33" s="880"/>
      <c r="Q33" s="943"/>
      <c r="R33" s="943"/>
      <c r="S33" s="943"/>
      <c r="T33" s="943"/>
      <c r="U33" s="943"/>
      <c r="V33" s="943"/>
      <c r="W33" s="943"/>
      <c r="X33" s="943"/>
      <c r="Y33" s="943"/>
      <c r="Z33" s="943"/>
      <c r="AA33" s="943"/>
      <c r="AB33" s="943"/>
      <c r="AC33" s="943"/>
      <c r="AD33" s="943"/>
      <c r="AE33" s="943"/>
      <c r="AF33" s="943"/>
      <c r="AG33" s="943"/>
      <c r="AH33" s="943"/>
    </row>
    <row r="34" spans="1:34" ht="14.25" customHeight="1" x14ac:dyDescent="0.3">
      <c r="A34" s="758"/>
      <c r="B34" s="761"/>
      <c r="C34" s="761"/>
      <c r="D34" s="758"/>
      <c r="E34" s="758"/>
      <c r="F34" s="758"/>
      <c r="G34" s="896"/>
      <c r="H34" s="758"/>
      <c r="I34" s="880"/>
      <c r="J34" s="880"/>
      <c r="K34" s="880"/>
      <c r="M34" s="880"/>
      <c r="O34" s="880"/>
      <c r="Q34" s="943"/>
      <c r="R34" s="943"/>
      <c r="S34" s="943"/>
      <c r="T34" s="943"/>
      <c r="U34" s="943"/>
      <c r="V34" s="943"/>
      <c r="W34" s="943"/>
      <c r="X34" s="943"/>
      <c r="Y34" s="943"/>
      <c r="Z34" s="943"/>
      <c r="AA34" s="943"/>
      <c r="AB34" s="943"/>
      <c r="AC34" s="943"/>
      <c r="AD34" s="943"/>
      <c r="AE34" s="943"/>
      <c r="AF34" s="943"/>
      <c r="AG34" s="943"/>
      <c r="AH34" s="943"/>
    </row>
    <row r="35" spans="1:34" ht="14.25" customHeight="1" x14ac:dyDescent="0.3">
      <c r="A35" s="757"/>
      <c r="B35" s="761"/>
      <c r="C35" s="761"/>
      <c r="D35" s="757"/>
      <c r="E35" s="757"/>
      <c r="F35" s="897"/>
      <c r="G35" s="758"/>
      <c r="H35" s="758"/>
      <c r="I35" s="880"/>
      <c r="J35" s="880"/>
      <c r="K35" s="880"/>
      <c r="M35" s="880"/>
      <c r="O35" s="880"/>
      <c r="Q35" s="943"/>
      <c r="R35" s="943"/>
      <c r="S35" s="943"/>
      <c r="T35" s="943"/>
      <c r="U35" s="943"/>
      <c r="V35" s="943"/>
      <c r="W35" s="943"/>
      <c r="X35" s="943"/>
      <c r="Y35" s="943"/>
      <c r="Z35" s="943"/>
      <c r="AA35" s="943"/>
      <c r="AB35" s="943"/>
      <c r="AC35" s="943"/>
      <c r="AD35" s="943"/>
      <c r="AE35" s="943"/>
      <c r="AF35" s="943"/>
      <c r="AG35" s="943"/>
      <c r="AH35" s="943"/>
    </row>
    <row r="36" spans="1:34" ht="14.25" customHeight="1" x14ac:dyDescent="0.3">
      <c r="A36" s="757"/>
      <c r="B36" s="761"/>
      <c r="C36" s="761"/>
      <c r="D36" s="757"/>
      <c r="E36" s="757"/>
      <c r="F36" s="897"/>
      <c r="G36" s="758"/>
      <c r="H36" s="758"/>
      <c r="I36" s="880"/>
      <c r="J36" s="880"/>
      <c r="K36" s="880"/>
      <c r="M36" s="880"/>
      <c r="O36" s="880"/>
      <c r="Q36" s="943"/>
      <c r="R36" s="943"/>
      <c r="S36" s="943"/>
      <c r="T36" s="943"/>
      <c r="U36" s="943"/>
      <c r="V36" s="943"/>
      <c r="W36" s="943"/>
      <c r="X36" s="943"/>
      <c r="Y36" s="943"/>
      <c r="Z36" s="943"/>
      <c r="AA36" s="943"/>
      <c r="AB36" s="943"/>
      <c r="AC36" s="943"/>
      <c r="AD36" s="943"/>
      <c r="AE36" s="943"/>
      <c r="AF36" s="943"/>
      <c r="AG36" s="943"/>
      <c r="AH36" s="943"/>
    </row>
    <row r="37" spans="1:34" ht="14.25" customHeight="1" x14ac:dyDescent="0.3">
      <c r="A37" s="758"/>
      <c r="B37" s="761"/>
      <c r="C37" s="761"/>
      <c r="D37" s="758"/>
      <c r="E37" s="758"/>
      <c r="F37" s="758"/>
      <c r="G37" s="758"/>
      <c r="H37" s="758"/>
      <c r="I37" s="880"/>
      <c r="J37" s="880"/>
      <c r="K37" s="880"/>
      <c r="M37" s="880"/>
      <c r="O37" s="880"/>
      <c r="Q37" s="943"/>
      <c r="R37" s="943"/>
      <c r="S37" s="943"/>
      <c r="T37" s="943"/>
      <c r="U37" s="943"/>
      <c r="V37" s="943"/>
      <c r="W37" s="943"/>
      <c r="X37" s="943"/>
      <c r="Y37" s="943"/>
      <c r="Z37" s="943"/>
      <c r="AA37" s="943"/>
      <c r="AB37" s="943"/>
      <c r="AC37" s="943"/>
      <c r="AD37" s="943"/>
      <c r="AE37" s="943"/>
      <c r="AF37" s="943"/>
      <c r="AG37" s="943"/>
      <c r="AH37" s="943"/>
    </row>
    <row r="38" spans="1:34" ht="14.25" customHeight="1" x14ac:dyDescent="0.3">
      <c r="A38" s="880"/>
      <c r="B38" s="761"/>
      <c r="C38" s="761"/>
      <c r="D38" s="880"/>
      <c r="E38" s="880"/>
      <c r="F38" s="880"/>
      <c r="G38" s="880"/>
      <c r="H38" s="880"/>
      <c r="I38" s="880"/>
      <c r="J38" s="880"/>
      <c r="K38" s="880"/>
      <c r="M38" s="880"/>
      <c r="O38" s="880"/>
      <c r="Q38" s="943"/>
      <c r="R38" s="943"/>
      <c r="S38" s="943"/>
      <c r="T38" s="943"/>
      <c r="U38" s="943"/>
      <c r="V38" s="943"/>
      <c r="W38" s="943"/>
      <c r="X38" s="943"/>
      <c r="Y38" s="943"/>
      <c r="Z38" s="943"/>
      <c r="AA38" s="943"/>
      <c r="AB38" s="943"/>
      <c r="AC38" s="943"/>
      <c r="AD38" s="943"/>
      <c r="AE38" s="943"/>
      <c r="AF38" s="943"/>
      <c r="AG38" s="943"/>
      <c r="AH38" s="943"/>
    </row>
    <row r="39" spans="1:34" ht="14.25" customHeight="1" x14ac:dyDescent="0.3">
      <c r="A39" s="880"/>
      <c r="B39" s="761"/>
      <c r="C39" s="761"/>
      <c r="D39" s="880"/>
      <c r="E39" s="880"/>
      <c r="F39" s="880"/>
      <c r="G39" s="880"/>
      <c r="H39" s="880"/>
      <c r="I39" s="880"/>
      <c r="J39" s="880"/>
      <c r="K39" s="880"/>
      <c r="M39" s="880"/>
      <c r="O39" s="880"/>
      <c r="Q39" s="943"/>
      <c r="R39" s="943"/>
      <c r="S39" s="943"/>
      <c r="T39" s="943"/>
      <c r="U39" s="943"/>
      <c r="V39" s="943"/>
      <c r="W39" s="943"/>
      <c r="X39" s="943"/>
      <c r="Y39" s="943"/>
      <c r="Z39" s="943"/>
      <c r="AA39" s="943"/>
      <c r="AB39" s="943"/>
      <c r="AC39" s="943"/>
      <c r="AD39" s="943"/>
      <c r="AE39" s="943"/>
      <c r="AF39" s="943"/>
      <c r="AG39" s="943"/>
      <c r="AH39" s="943"/>
    </row>
    <row r="40" spans="1:34" ht="14.25" customHeight="1" x14ac:dyDescent="0.3">
      <c r="A40" s="880"/>
      <c r="B40" s="761"/>
      <c r="C40" s="761"/>
      <c r="D40" s="880"/>
      <c r="E40" s="880"/>
      <c r="F40" s="880"/>
      <c r="G40" s="880"/>
      <c r="H40" s="880"/>
      <c r="I40" s="880"/>
      <c r="J40" s="880"/>
      <c r="K40" s="880"/>
      <c r="M40" s="880"/>
      <c r="O40" s="880"/>
      <c r="Q40" s="943"/>
      <c r="R40" s="943"/>
      <c r="S40" s="943"/>
      <c r="T40" s="943"/>
      <c r="U40" s="943"/>
      <c r="V40" s="943"/>
      <c r="W40" s="943"/>
      <c r="X40" s="943"/>
      <c r="Y40" s="943"/>
      <c r="Z40" s="943"/>
      <c r="AA40" s="943"/>
      <c r="AB40" s="943"/>
      <c r="AC40" s="943"/>
      <c r="AD40" s="943"/>
      <c r="AE40" s="943"/>
      <c r="AF40" s="943"/>
      <c r="AG40" s="943"/>
      <c r="AH40" s="943"/>
    </row>
    <row r="41" spans="1:34" x14ac:dyDescent="0.3">
      <c r="A41" s="880"/>
      <c r="B41" s="761"/>
      <c r="C41" s="761"/>
      <c r="D41" s="880"/>
      <c r="E41" s="880"/>
      <c r="F41" s="880"/>
      <c r="G41" s="880"/>
      <c r="H41" s="880"/>
      <c r="I41" s="880"/>
      <c r="J41" s="880"/>
      <c r="K41" s="880"/>
      <c r="M41" s="880"/>
      <c r="O41" s="880"/>
      <c r="Q41" s="943"/>
      <c r="R41" s="943"/>
      <c r="S41" s="943"/>
      <c r="T41" s="943"/>
      <c r="U41" s="943"/>
      <c r="V41" s="943"/>
      <c r="W41" s="943"/>
      <c r="X41" s="943"/>
      <c r="Y41" s="943"/>
      <c r="Z41" s="943"/>
      <c r="AA41" s="943"/>
      <c r="AB41" s="943"/>
      <c r="AC41" s="943"/>
      <c r="AD41" s="943"/>
      <c r="AE41" s="943"/>
      <c r="AF41" s="943"/>
      <c r="AG41" s="943"/>
      <c r="AH41" s="943"/>
    </row>
    <row r="42" spans="1:34" x14ac:dyDescent="0.3">
      <c r="A42" s="880"/>
      <c r="B42" s="761"/>
      <c r="C42" s="761"/>
      <c r="D42" s="880"/>
      <c r="E42" s="880"/>
      <c r="F42" s="880"/>
      <c r="G42" s="880"/>
      <c r="H42" s="880"/>
      <c r="I42" s="880"/>
      <c r="J42" s="880"/>
      <c r="K42" s="880"/>
      <c r="M42" s="880"/>
      <c r="O42" s="880"/>
      <c r="Q42" s="943"/>
      <c r="R42" s="943"/>
      <c r="S42" s="943"/>
      <c r="T42" s="943"/>
      <c r="U42" s="943"/>
      <c r="V42" s="943"/>
      <c r="W42" s="943"/>
      <c r="X42" s="943"/>
      <c r="Y42" s="943"/>
      <c r="Z42" s="943"/>
      <c r="AA42" s="943"/>
      <c r="AB42" s="943"/>
      <c r="AC42" s="943"/>
      <c r="AD42" s="943"/>
      <c r="AE42" s="943"/>
      <c r="AF42" s="943"/>
      <c r="AG42" s="943"/>
      <c r="AH42" s="943"/>
    </row>
    <row r="43" spans="1:34" x14ac:dyDescent="0.3">
      <c r="A43" s="880"/>
      <c r="B43" s="761"/>
      <c r="C43" s="761"/>
      <c r="D43" s="880"/>
      <c r="E43" s="880"/>
      <c r="F43" s="880"/>
      <c r="G43" s="880"/>
      <c r="H43" s="880"/>
      <c r="I43" s="880"/>
      <c r="J43" s="880"/>
      <c r="K43" s="880"/>
      <c r="M43" s="880"/>
      <c r="O43" s="880"/>
      <c r="Q43" s="880"/>
      <c r="R43" s="943"/>
      <c r="S43" s="943"/>
      <c r="T43" s="943"/>
      <c r="U43" s="943"/>
      <c r="V43" s="943"/>
      <c r="W43" s="943"/>
      <c r="X43" s="943"/>
      <c r="Y43" s="880"/>
      <c r="Z43" s="880"/>
      <c r="AA43" s="880"/>
      <c r="AB43" s="880"/>
      <c r="AC43" s="880"/>
      <c r="AD43" s="880"/>
      <c r="AE43" s="880"/>
      <c r="AF43" s="880"/>
      <c r="AG43" s="880"/>
      <c r="AH43" s="880"/>
    </row>
    <row r="44" spans="1:34" x14ac:dyDescent="0.3">
      <c r="A44" s="880"/>
      <c r="B44" s="761"/>
      <c r="C44" s="761"/>
      <c r="D44" s="880"/>
      <c r="E44" s="880"/>
      <c r="F44" s="880"/>
      <c r="G44" s="880"/>
      <c r="H44" s="880"/>
      <c r="I44" s="880"/>
      <c r="J44" s="880"/>
      <c r="K44" s="880"/>
      <c r="M44" s="880"/>
      <c r="O44" s="880"/>
      <c r="Q44" s="880"/>
      <c r="R44" s="943"/>
      <c r="S44" s="943"/>
      <c r="T44" s="943"/>
      <c r="U44" s="943"/>
      <c r="V44" s="943"/>
      <c r="W44" s="943"/>
      <c r="X44" s="943"/>
      <c r="Y44" s="880"/>
      <c r="Z44" s="880"/>
      <c r="AA44" s="880"/>
      <c r="AB44" s="880"/>
      <c r="AC44" s="880"/>
      <c r="AD44" s="880"/>
      <c r="AE44" s="880"/>
      <c r="AF44" s="880"/>
      <c r="AG44" s="880"/>
      <c r="AH44" s="880"/>
    </row>
    <row r="45" spans="1:34" x14ac:dyDescent="0.3">
      <c r="A45" s="880"/>
      <c r="B45" s="761"/>
      <c r="C45" s="761"/>
      <c r="D45" s="880"/>
      <c r="E45" s="880"/>
      <c r="F45" s="880"/>
      <c r="G45" s="880"/>
      <c r="H45" s="880"/>
      <c r="I45" s="880"/>
      <c r="J45" s="880"/>
      <c r="K45" s="880"/>
      <c r="M45" s="880"/>
      <c r="O45" s="880"/>
      <c r="Q45" s="880"/>
      <c r="R45" s="943"/>
      <c r="S45" s="943"/>
      <c r="T45" s="943"/>
      <c r="U45" s="943"/>
      <c r="V45" s="943"/>
      <c r="W45" s="943"/>
      <c r="X45" s="943"/>
      <c r="Y45" s="880"/>
      <c r="Z45" s="880"/>
      <c r="AA45" s="880"/>
      <c r="AB45" s="880"/>
      <c r="AC45" s="880"/>
      <c r="AD45" s="880"/>
      <c r="AE45" s="880"/>
      <c r="AF45" s="880"/>
      <c r="AG45" s="880"/>
      <c r="AH45" s="880"/>
    </row>
    <row r="46" spans="1:34" x14ac:dyDescent="0.3">
      <c r="A46" s="880"/>
      <c r="B46" s="761"/>
      <c r="C46" s="761"/>
      <c r="D46" s="880"/>
      <c r="E46" s="880"/>
      <c r="F46" s="880"/>
      <c r="G46" s="880"/>
      <c r="H46" s="880"/>
      <c r="I46" s="880"/>
      <c r="J46" s="880"/>
      <c r="K46" s="880"/>
      <c r="M46" s="880"/>
      <c r="O46" s="880"/>
      <c r="Q46" s="880"/>
      <c r="R46" s="943"/>
      <c r="S46" s="943"/>
      <c r="T46" s="943"/>
      <c r="U46" s="943"/>
      <c r="V46" s="943"/>
      <c r="W46" s="943"/>
      <c r="X46" s="943"/>
      <c r="Y46" s="880"/>
      <c r="Z46" s="880"/>
      <c r="AA46" s="880"/>
      <c r="AB46" s="880"/>
      <c r="AC46" s="880"/>
      <c r="AD46" s="880"/>
      <c r="AE46" s="880"/>
      <c r="AF46" s="880"/>
      <c r="AG46" s="880"/>
      <c r="AH46" s="880"/>
    </row>
    <row r="47" spans="1:34" x14ac:dyDescent="0.3">
      <c r="A47" s="880"/>
      <c r="B47" s="880"/>
      <c r="C47" s="880"/>
      <c r="D47" s="880"/>
      <c r="E47" s="880"/>
      <c r="F47" s="880"/>
      <c r="G47" s="880"/>
      <c r="H47" s="880"/>
      <c r="I47" s="880"/>
      <c r="J47" s="880"/>
      <c r="K47" s="880"/>
      <c r="M47" s="880"/>
      <c r="O47" s="880"/>
      <c r="Q47" s="880"/>
      <c r="R47" s="943"/>
      <c r="S47" s="943"/>
      <c r="T47" s="943"/>
      <c r="U47" s="943"/>
      <c r="V47" s="943"/>
      <c r="W47" s="943"/>
      <c r="X47" s="943"/>
      <c r="Y47" s="880"/>
      <c r="Z47" s="880"/>
      <c r="AA47" s="880"/>
      <c r="AB47" s="880"/>
      <c r="AC47" s="880"/>
      <c r="AD47" s="880"/>
      <c r="AE47" s="880"/>
      <c r="AF47" s="880"/>
      <c r="AG47" s="880"/>
      <c r="AH47" s="880"/>
    </row>
  </sheetData>
  <mergeCells count="33">
    <mergeCell ref="A11:E12"/>
    <mergeCell ref="F11:F12"/>
    <mergeCell ref="G11:G12"/>
    <mergeCell ref="A7:E8"/>
    <mergeCell ref="F7:F8"/>
    <mergeCell ref="G7:G8"/>
    <mergeCell ref="E22:F22"/>
    <mergeCell ref="A22:D25"/>
    <mergeCell ref="A15:E16"/>
    <mergeCell ref="F15:F16"/>
    <mergeCell ref="G15:G16"/>
    <mergeCell ref="E23:F23"/>
    <mergeCell ref="E24:F24"/>
    <mergeCell ref="E25:F25"/>
    <mergeCell ref="R3:X4"/>
    <mergeCell ref="R5:U6"/>
    <mergeCell ref="V5:X6"/>
    <mergeCell ref="A1:P1"/>
    <mergeCell ref="L3:P4"/>
    <mergeCell ref="M6:M7"/>
    <mergeCell ref="O6:O7"/>
    <mergeCell ref="R7:U8"/>
    <mergeCell ref="V7:X8"/>
    <mergeCell ref="M8:M9"/>
    <mergeCell ref="O8:O9"/>
    <mergeCell ref="V13:X14"/>
    <mergeCell ref="R13:U14"/>
    <mergeCell ref="V9:X10"/>
    <mergeCell ref="R15:U16"/>
    <mergeCell ref="V15:X16"/>
    <mergeCell ref="R9:U10"/>
    <mergeCell ref="R11:U12"/>
    <mergeCell ref="V11:X12"/>
  </mergeCells>
  <conditionalFormatting sqref="O10:P30">
    <cfRule type="expression" dxfId="8" priority="7">
      <formula>$F$7=0</formula>
    </cfRule>
  </conditionalFormatting>
  <conditionalFormatting sqref="O10:O30">
    <cfRule type="cellIs" dxfId="7" priority="4" operator="lessThan">
      <formula>0</formula>
    </cfRule>
  </conditionalFormatting>
  <conditionalFormatting sqref="M10:M30">
    <cfRule type="expression" dxfId="6" priority="3">
      <formula>$O10&lt;0</formula>
    </cfRule>
  </conditionalFormatting>
  <conditionalFormatting sqref="G15:G16">
    <cfRule type="expression" dxfId="5" priority="2">
      <formula>IF($G$7=0,1,)</formula>
    </cfRule>
  </conditionalFormatting>
  <conditionalFormatting sqref="E22:G25">
    <cfRule type="expression" dxfId="4" priority="1">
      <formula>IF($F$15=0,1,)</formula>
    </cfRule>
  </conditionalFormatting>
  <dataValidations count="4">
    <dataValidation type="list" allowBlank="1" showInputMessage="1" showErrorMessage="1" sqref="C15" xr:uid="{00000000-0002-0000-0300-000000000000}">
      <formula1>$S$13:$T$13</formula1>
    </dataValidation>
    <dataValidation type="list" allowBlank="1" showInputMessage="1" showErrorMessage="1" sqref="C20:C21" xr:uid="{00000000-0002-0000-0300-000001000000}">
      <formula1>$S$16:$T$16</formula1>
    </dataValidation>
    <dataValidation type="list" allowBlank="1" showInputMessage="1" showErrorMessage="1" sqref="G7:G8" xr:uid="{00000000-0002-0000-0300-000002000000}">
      <formula1>$B$28:$B$31</formula1>
    </dataValidation>
    <dataValidation type="list" allowBlank="1" showInputMessage="1" showErrorMessage="1" sqref="G11:G12" xr:uid="{00000000-0002-0000-0300-000003000000}">
      <formula1>$C$28:$C$31</formula1>
    </dataValidation>
  </dataValidations>
  <pageMargins left="0.7" right="0.7" top="0.75" bottom="0.75" header="0.3" footer="0.3"/>
  <pageSetup scale="97" fitToHeight="0" orientation="landscape"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tabColor theme="9" tint="-0.249977111117893"/>
  </sheetPr>
  <dimension ref="A1:G198"/>
  <sheetViews>
    <sheetView workbookViewId="0">
      <selection sqref="A1:P33"/>
    </sheetView>
  </sheetViews>
  <sheetFormatPr defaultRowHeight="14.4" x14ac:dyDescent="0.3"/>
  <cols>
    <col min="1" max="1" width="22.77734375" customWidth="1"/>
    <col min="2" max="2" width="20.21875" bestFit="1" customWidth="1"/>
    <col min="3" max="3" width="16.77734375" bestFit="1" customWidth="1"/>
    <col min="4" max="4" width="20.77734375" customWidth="1"/>
    <col min="5" max="5" width="21.77734375" customWidth="1"/>
    <col min="6" max="6" width="19.77734375" customWidth="1"/>
    <col min="7" max="7" width="9.21875" bestFit="1" customWidth="1"/>
  </cols>
  <sheetData>
    <row r="1" spans="1:7" x14ac:dyDescent="0.3">
      <c r="A1" t="s">
        <v>245</v>
      </c>
    </row>
    <row r="3" spans="1:7" x14ac:dyDescent="0.3">
      <c r="A3" s="102" t="s">
        <v>246</v>
      </c>
      <c r="B3" s="103" t="s">
        <v>247</v>
      </c>
      <c r="C3" s="103" t="s">
        <v>248</v>
      </c>
      <c r="D3" s="103" t="s">
        <v>249</v>
      </c>
      <c r="E3" s="103" t="s">
        <v>250</v>
      </c>
      <c r="F3" s="104" t="s">
        <v>251</v>
      </c>
    </row>
    <row r="4" spans="1:7" x14ac:dyDescent="0.3">
      <c r="A4" t="s">
        <v>252</v>
      </c>
      <c r="B4" s="986" t="s">
        <v>253</v>
      </c>
      <c r="C4" s="986" t="s">
        <v>254</v>
      </c>
      <c r="D4" s="986"/>
      <c r="E4" s="986"/>
      <c r="F4" t="s">
        <v>255</v>
      </c>
    </row>
    <row r="5" spans="1:7" x14ac:dyDescent="0.3">
      <c r="A5" t="s">
        <v>256</v>
      </c>
      <c r="B5" s="986" t="s">
        <v>257</v>
      </c>
      <c r="C5" s="986" t="s">
        <v>258</v>
      </c>
      <c r="D5" s="986"/>
      <c r="E5" s="986"/>
      <c r="F5" t="s">
        <v>259</v>
      </c>
    </row>
    <row r="6" spans="1:7" x14ac:dyDescent="0.3">
      <c r="A6" t="s">
        <v>260</v>
      </c>
      <c r="B6" s="986" t="s">
        <v>261</v>
      </c>
      <c r="C6" s="986" t="s">
        <v>262</v>
      </c>
      <c r="D6" s="986"/>
      <c r="E6" s="986"/>
      <c r="F6" t="s">
        <v>263</v>
      </c>
    </row>
    <row r="7" spans="1:7" x14ac:dyDescent="0.3">
      <c r="A7" t="s">
        <v>264</v>
      </c>
      <c r="B7" s="986" t="s">
        <v>265</v>
      </c>
      <c r="C7" s="986" t="s">
        <v>266</v>
      </c>
      <c r="D7" s="986"/>
      <c r="E7" s="986"/>
      <c r="F7" t="s">
        <v>267</v>
      </c>
    </row>
    <row r="8" spans="1:7" x14ac:dyDescent="0.3">
      <c r="A8" t="s">
        <v>268</v>
      </c>
      <c r="B8" s="105">
        <v>0.78</v>
      </c>
      <c r="C8" s="986" t="s">
        <v>269</v>
      </c>
      <c r="D8" s="986"/>
      <c r="E8" s="986"/>
    </row>
    <row r="9" spans="1:7" x14ac:dyDescent="0.3">
      <c r="A9" t="s">
        <v>270</v>
      </c>
      <c r="B9" s="106" t="s">
        <v>271</v>
      </c>
      <c r="C9" s="986" t="s">
        <v>272</v>
      </c>
      <c r="D9" s="986"/>
      <c r="E9" s="986"/>
    </row>
    <row r="11" spans="1:7" x14ac:dyDescent="0.3">
      <c r="A11" t="s">
        <v>273</v>
      </c>
    </row>
    <row r="13" spans="1:7" x14ac:dyDescent="0.3">
      <c r="A13" s="107"/>
      <c r="B13" t="s">
        <v>274</v>
      </c>
    </row>
    <row r="14" spans="1:7" ht="43.2" x14ac:dyDescent="0.3">
      <c r="A14" s="108" t="s">
        <v>275</v>
      </c>
      <c r="B14" s="109" t="s">
        <v>276</v>
      </c>
      <c r="C14" s="109" t="s">
        <v>277</v>
      </c>
      <c r="D14" s="110" t="s">
        <v>278</v>
      </c>
      <c r="E14" s="108" t="s">
        <v>279</v>
      </c>
      <c r="F14" s="111" t="s">
        <v>249</v>
      </c>
      <c r="G14" s="111" t="s">
        <v>250</v>
      </c>
    </row>
    <row r="15" spans="1:7" x14ac:dyDescent="0.3">
      <c r="A15" s="112">
        <v>1</v>
      </c>
      <c r="B15" s="39">
        <v>0.19956676972937282</v>
      </c>
      <c r="C15" s="39">
        <v>0.1273745241199814</v>
      </c>
      <c r="D15" s="39">
        <v>0.27574621950033396</v>
      </c>
      <c r="E15" s="42">
        <v>1</v>
      </c>
      <c r="F15" s="113">
        <f>(A15-1.73)/1.73</f>
        <v>-0.42196531791907516</v>
      </c>
      <c r="G15" s="113">
        <f>(B15-0.1207)/0.1207</f>
        <v>0.65341151391361074</v>
      </c>
    </row>
    <row r="16" spans="1:7" x14ac:dyDescent="0.3">
      <c r="A16" s="112">
        <v>1.1000000000000001</v>
      </c>
      <c r="B16" s="39">
        <v>0.18322419388906874</v>
      </c>
      <c r="C16" s="39">
        <v>0.11651864962914127</v>
      </c>
      <c r="D16" s="39">
        <v>0.25419225971997328</v>
      </c>
      <c r="E16" s="42">
        <v>1</v>
      </c>
      <c r="F16" s="114">
        <f t="shared" ref="F16:F30" si="0">(A16-1.73)/1.73</f>
        <v>-0.36416184971098259</v>
      </c>
      <c r="G16" s="114">
        <f t="shared" ref="G16:G30" si="1">(B16-0.1207)/0.1207</f>
        <v>0.51801320537753726</v>
      </c>
    </row>
    <row r="17" spans="1:7" x14ac:dyDescent="0.3">
      <c r="A17" s="112">
        <v>1.2</v>
      </c>
      <c r="B17" s="39">
        <v>0.16932028430157053</v>
      </c>
      <c r="C17" s="39">
        <v>0.1073485104584363</v>
      </c>
      <c r="D17" s="39">
        <v>0.23575195490003542</v>
      </c>
      <c r="E17" s="42">
        <v>1</v>
      </c>
      <c r="F17" s="114">
        <f t="shared" si="0"/>
        <v>-0.30635838150289019</v>
      </c>
      <c r="G17" s="114">
        <f t="shared" si="1"/>
        <v>0.40281925684814029</v>
      </c>
    </row>
    <row r="18" spans="1:7" x14ac:dyDescent="0.3">
      <c r="A18" s="112">
        <v>1.3</v>
      </c>
      <c r="B18" s="39">
        <v>0.15738679511306253</v>
      </c>
      <c r="C18" s="39">
        <v>9.9522487578238117E-2</v>
      </c>
      <c r="D18" s="39">
        <v>0.21978303257093101</v>
      </c>
      <c r="E18" s="42">
        <v>1</v>
      </c>
      <c r="F18" s="114">
        <f t="shared" si="0"/>
        <v>-0.24855491329479765</v>
      </c>
      <c r="G18" s="114">
        <f t="shared" si="1"/>
        <v>0.30395024948684779</v>
      </c>
    </row>
    <row r="19" spans="1:7" x14ac:dyDescent="0.3">
      <c r="A19" s="112">
        <v>1.4</v>
      </c>
      <c r="B19" s="39">
        <v>0.14702173422922049</v>
      </c>
      <c r="C19" s="39">
        <v>9.2752743419157624E-2</v>
      </c>
      <c r="D19" s="39">
        <v>0.20582382550049183</v>
      </c>
      <c r="E19" s="42">
        <v>1</v>
      </c>
      <c r="F19" s="114">
        <f t="shared" si="0"/>
        <v>-0.19075144508670525</v>
      </c>
      <c r="G19" s="114">
        <f t="shared" si="1"/>
        <v>0.21807567712693032</v>
      </c>
    </row>
    <row r="20" spans="1:7" x14ac:dyDescent="0.3">
      <c r="A20" s="112">
        <v>1.5</v>
      </c>
      <c r="B20" s="39">
        <v>0.13793085546995043</v>
      </c>
      <c r="C20" s="39">
        <v>8.6837772171667882E-2</v>
      </c>
      <c r="D20" s="39">
        <v>0.19352694654777347</v>
      </c>
      <c r="E20" s="42">
        <v>1</v>
      </c>
      <c r="F20" s="114">
        <f t="shared" si="0"/>
        <v>-0.13294797687861271</v>
      </c>
      <c r="G20" s="114">
        <f t="shared" si="1"/>
        <v>0.14275770894739379</v>
      </c>
    </row>
    <row r="21" spans="1:7" x14ac:dyDescent="0.3">
      <c r="A21" s="112">
        <v>1.6</v>
      </c>
      <c r="B21" s="39">
        <v>0.12989389770126636</v>
      </c>
      <c r="C21" s="39">
        <v>8.1643190644201558E-2</v>
      </c>
      <c r="D21" s="39">
        <v>0.18261671505289678</v>
      </c>
      <c r="E21" s="42">
        <v>1</v>
      </c>
      <c r="F21" s="114">
        <f t="shared" si="0"/>
        <v>-7.5144508670520166E-2</v>
      </c>
      <c r="G21" s="114">
        <f t="shared" si="1"/>
        <v>7.6171480540732042E-2</v>
      </c>
    </row>
    <row r="22" spans="1:7" x14ac:dyDescent="0.3">
      <c r="A22" s="112">
        <v>1.7</v>
      </c>
      <c r="B22" s="39">
        <v>0.1227487892606578</v>
      </c>
      <c r="C22" s="39">
        <v>7.7029222277830711E-2</v>
      </c>
      <c r="D22" s="39">
        <v>0.172858154510937</v>
      </c>
      <c r="E22" s="42">
        <v>1</v>
      </c>
      <c r="F22" s="114">
        <f t="shared" si="0"/>
        <v>-1.7341040462427761E-2</v>
      </c>
      <c r="G22" s="114">
        <f t="shared" si="1"/>
        <v>1.6974227511663598E-2</v>
      </c>
    </row>
    <row r="23" spans="1:7" x14ac:dyDescent="0.3">
      <c r="A23" s="112">
        <v>1.8</v>
      </c>
      <c r="B23" s="39">
        <v>0.11634833954943669</v>
      </c>
      <c r="C23" s="39">
        <v>7.2902786813174414E-2</v>
      </c>
      <c r="D23" s="39">
        <v>0.16408867217497647</v>
      </c>
      <c r="E23" s="42">
        <v>1</v>
      </c>
      <c r="F23" s="114">
        <f t="shared" si="0"/>
        <v>4.0462427745664775E-2</v>
      </c>
      <c r="G23" s="114">
        <f t="shared" si="1"/>
        <v>-3.6053524859679505E-2</v>
      </c>
    </row>
    <row r="24" spans="1:7" x14ac:dyDescent="0.3">
      <c r="A24" s="112">
        <v>1.9</v>
      </c>
      <c r="B24" s="39">
        <v>0.11056271295106668</v>
      </c>
      <c r="C24" s="39">
        <v>6.9219359070315511E-2</v>
      </c>
      <c r="D24" s="39">
        <v>0.15617941049241557</v>
      </c>
      <c r="E24" s="42">
        <v>1</v>
      </c>
      <c r="F24" s="114">
        <f t="shared" si="0"/>
        <v>9.826589595375719E-2</v>
      </c>
      <c r="G24" s="114">
        <f t="shared" si="1"/>
        <v>-8.3987465194145183E-2</v>
      </c>
    </row>
    <row r="25" spans="1:7" x14ac:dyDescent="0.3">
      <c r="A25" s="112">
        <v>2</v>
      </c>
      <c r="B25" s="39">
        <v>0.10533065869527691</v>
      </c>
      <c r="C25" s="39">
        <v>6.5855752102482512E-2</v>
      </c>
      <c r="D25" s="39">
        <v>0.14896898969563621</v>
      </c>
      <c r="E25" s="42">
        <v>1</v>
      </c>
      <c r="F25" s="114">
        <f t="shared" si="0"/>
        <v>0.15606936416184972</v>
      </c>
      <c r="G25" s="114">
        <f t="shared" si="1"/>
        <v>-0.12733505637715897</v>
      </c>
    </row>
    <row r="26" spans="1:7" x14ac:dyDescent="0.3">
      <c r="A26" s="112">
        <v>2.1</v>
      </c>
      <c r="B26" s="39">
        <v>0.10058807063885133</v>
      </c>
      <c r="C26" s="39">
        <v>6.2841339808391461E-2</v>
      </c>
      <c r="D26" s="39">
        <v>0.14242930840693213</v>
      </c>
      <c r="E26" s="42">
        <v>1</v>
      </c>
      <c r="F26" s="114">
        <f t="shared" si="0"/>
        <v>0.21387283236994226</v>
      </c>
      <c r="G26" s="114">
        <f t="shared" si="1"/>
        <v>-0.16662741807082573</v>
      </c>
    </row>
    <row r="27" spans="1:7" x14ac:dyDescent="0.3">
      <c r="A27" s="112">
        <v>2.2000000000000002</v>
      </c>
      <c r="B27" s="39">
        <v>9.6243502866545816E-2</v>
      </c>
      <c r="C27" s="39">
        <v>6.0076054651664879E-2</v>
      </c>
      <c r="D27" s="39">
        <v>0.1364102803437105</v>
      </c>
      <c r="E27" s="42">
        <v>0</v>
      </c>
      <c r="F27" s="114">
        <f t="shared" si="0"/>
        <v>0.27167630057803482</v>
      </c>
      <c r="G27" s="114">
        <f t="shared" si="1"/>
        <v>-0.20262218006175794</v>
      </c>
    </row>
    <row r="28" spans="1:7" x14ac:dyDescent="0.3">
      <c r="A28" s="112">
        <v>2.2999999999999998</v>
      </c>
      <c r="B28" s="39">
        <v>9.2252964052764619E-2</v>
      </c>
      <c r="C28" s="39">
        <v>5.7536205218978287E-2</v>
      </c>
      <c r="D28" s="39">
        <v>0.13087567731165772</v>
      </c>
      <c r="E28" s="42">
        <v>0</v>
      </c>
      <c r="F28" s="114">
        <f t="shared" si="0"/>
        <v>0.32947976878612706</v>
      </c>
      <c r="G28" s="114">
        <f t="shared" si="1"/>
        <v>-0.23568381066475047</v>
      </c>
    </row>
    <row r="29" spans="1:7" x14ac:dyDescent="0.3">
      <c r="A29" s="112">
        <v>2.4</v>
      </c>
      <c r="B29" s="39">
        <v>8.8596224333053586E-2</v>
      </c>
      <c r="C29" s="39">
        <v>5.5197645249778327E-2</v>
      </c>
      <c r="D29" s="39">
        <v>0.12578718546342249</v>
      </c>
      <c r="E29" s="42">
        <v>0</v>
      </c>
      <c r="F29" s="114">
        <f t="shared" si="0"/>
        <v>0.38728323699421963</v>
      </c>
      <c r="G29" s="114">
        <f t="shared" si="1"/>
        <v>-0.26597991439060825</v>
      </c>
    </row>
    <row r="30" spans="1:7" x14ac:dyDescent="0.3">
      <c r="A30" s="115">
        <v>2.5</v>
      </c>
      <c r="B30" s="116">
        <v>8.5201885990491499E-2</v>
      </c>
      <c r="C30" s="116">
        <v>5.3061905692172284E-2</v>
      </c>
      <c r="D30" s="116">
        <v>0.12108043305862903</v>
      </c>
      <c r="E30" s="117">
        <v>0</v>
      </c>
      <c r="F30" s="118">
        <f t="shared" si="0"/>
        <v>0.44508670520231214</v>
      </c>
      <c r="G30" s="118">
        <f t="shared" si="1"/>
        <v>-0.29410202161978877</v>
      </c>
    </row>
    <row r="32" spans="1:7" x14ac:dyDescent="0.3">
      <c r="A32" t="s">
        <v>280</v>
      </c>
    </row>
    <row r="33" spans="1:5" ht="57.6" x14ac:dyDescent="0.3">
      <c r="A33" s="108" t="s">
        <v>256</v>
      </c>
      <c r="B33" s="109" t="s">
        <v>276</v>
      </c>
      <c r="C33" s="108" t="s">
        <v>279</v>
      </c>
      <c r="D33" s="111" t="s">
        <v>249</v>
      </c>
      <c r="E33" s="111" t="s">
        <v>250</v>
      </c>
    </row>
    <row r="34" spans="1:5" x14ac:dyDescent="0.3">
      <c r="A34" s="119">
        <v>250</v>
      </c>
      <c r="B34" s="120">
        <v>7.2978537751691164E-3</v>
      </c>
      <c r="C34" s="121">
        <v>0</v>
      </c>
      <c r="D34" s="122">
        <f>(A34-4393)/4393</f>
        <v>-0.94309128158433875</v>
      </c>
      <c r="E34" s="123">
        <f>(B34-0.1207)/0.1207</f>
        <v>-0.93953725124134946</v>
      </c>
    </row>
    <row r="35" spans="1:5" x14ac:dyDescent="0.3">
      <c r="A35" s="112">
        <v>500</v>
      </c>
      <c r="B35" s="39">
        <v>1.4542448880614511E-2</v>
      </c>
      <c r="C35" s="42">
        <v>0</v>
      </c>
      <c r="D35" s="124">
        <f t="shared" ref="D35:D59" si="2">(A35-4393)/4393</f>
        <v>-0.8861825631686775</v>
      </c>
      <c r="E35" s="125">
        <f t="shared" ref="E35:E59" si="3">(B35-0.1207)/0.1207</f>
        <v>-0.87951575078198418</v>
      </c>
    </row>
    <row r="36" spans="1:5" x14ac:dyDescent="0.3">
      <c r="A36" s="112">
        <v>750</v>
      </c>
      <c r="B36" s="39">
        <v>2.173417399031996E-2</v>
      </c>
      <c r="C36" s="42">
        <v>0</v>
      </c>
      <c r="D36" s="124">
        <f t="shared" si="2"/>
        <v>-0.82927384475301613</v>
      </c>
      <c r="E36" s="125">
        <f t="shared" si="3"/>
        <v>-0.81993227845633831</v>
      </c>
    </row>
    <row r="37" spans="1:5" x14ac:dyDescent="0.3">
      <c r="A37" s="112">
        <v>1000</v>
      </c>
      <c r="B37" s="39">
        <v>2.8873414941783637E-2</v>
      </c>
      <c r="C37" s="42">
        <v>0</v>
      </c>
      <c r="D37" s="124">
        <f t="shared" si="2"/>
        <v>-0.77236512633735488</v>
      </c>
      <c r="E37" s="125">
        <f t="shared" si="3"/>
        <v>-0.76078363759914136</v>
      </c>
    </row>
    <row r="38" spans="1:5" x14ac:dyDescent="0.3">
      <c r="A38" s="112">
        <v>1250</v>
      </c>
      <c r="B38" s="39">
        <v>3.5960554756717888E-2</v>
      </c>
      <c r="C38" s="42">
        <v>0</v>
      </c>
      <c r="D38" s="124">
        <f t="shared" si="2"/>
        <v>-0.71545640792169363</v>
      </c>
      <c r="E38" s="125">
        <f t="shared" si="3"/>
        <v>-0.70206665487391973</v>
      </c>
    </row>
    <row r="39" spans="1:5" x14ac:dyDescent="0.3">
      <c r="A39" s="112">
        <v>1500</v>
      </c>
      <c r="B39" s="39">
        <v>4.2995973661598574E-2</v>
      </c>
      <c r="C39" s="42">
        <v>0</v>
      </c>
      <c r="D39" s="124">
        <f t="shared" si="2"/>
        <v>-0.65854768950603237</v>
      </c>
      <c r="E39" s="125">
        <f t="shared" si="3"/>
        <v>-0.6437781801027459</v>
      </c>
    </row>
    <row r="40" spans="1:5" x14ac:dyDescent="0.3">
      <c r="A40" s="112">
        <v>1750</v>
      </c>
      <c r="B40" s="39">
        <v>4.9980049108064306E-2</v>
      </c>
      <c r="C40" s="42">
        <v>0</v>
      </c>
      <c r="D40" s="124">
        <f t="shared" si="2"/>
        <v>-0.60163897109037101</v>
      </c>
      <c r="E40" s="125">
        <f t="shared" si="3"/>
        <v>-0.58591508609723031</v>
      </c>
    </row>
    <row r="41" spans="1:5" x14ac:dyDescent="0.3">
      <c r="A41" s="112">
        <v>2000</v>
      </c>
      <c r="B41" s="39">
        <v>5.6913155793166914E-2</v>
      </c>
      <c r="C41" s="42">
        <v>0</v>
      </c>
      <c r="D41" s="124">
        <f t="shared" si="2"/>
        <v>-0.54473025267470976</v>
      </c>
      <c r="E41" s="125">
        <f t="shared" si="3"/>
        <v>-0.52847426849074641</v>
      </c>
    </row>
    <row r="42" spans="1:5" x14ac:dyDescent="0.3">
      <c r="A42" s="112">
        <v>2250</v>
      </c>
      <c r="B42" s="39">
        <v>6.3795665679474145E-2</v>
      </c>
      <c r="C42" s="42">
        <v>0</v>
      </c>
      <c r="D42" s="124">
        <f t="shared" si="2"/>
        <v>-0.48782153425904851</v>
      </c>
      <c r="E42" s="125">
        <f t="shared" si="3"/>
        <v>-0.47145264557187949</v>
      </c>
    </row>
    <row r="43" spans="1:5" x14ac:dyDescent="0.3">
      <c r="A43" s="112">
        <v>2500</v>
      </c>
      <c r="B43" s="39">
        <v>7.0602356343249295E-2</v>
      </c>
      <c r="C43" s="42">
        <v>0</v>
      </c>
      <c r="D43" s="124">
        <f t="shared" si="2"/>
        <v>-0.4309128158433872</v>
      </c>
      <c r="E43" s="125">
        <f t="shared" si="3"/>
        <v>-0.41505918522577223</v>
      </c>
    </row>
    <row r="44" spans="1:5" x14ac:dyDescent="0.3">
      <c r="A44" s="112">
        <v>2750</v>
      </c>
      <c r="B44" s="39">
        <v>7.7384964445643023E-2</v>
      </c>
      <c r="C44" s="42">
        <v>0</v>
      </c>
      <c r="D44" s="124">
        <f t="shared" si="2"/>
        <v>-0.37400409742772595</v>
      </c>
      <c r="E44" s="125">
        <f t="shared" si="3"/>
        <v>-0.35886524900047206</v>
      </c>
    </row>
    <row r="45" spans="1:5" x14ac:dyDescent="0.3">
      <c r="A45" s="112">
        <v>3000</v>
      </c>
      <c r="B45" s="39">
        <v>8.4118074065891113E-2</v>
      </c>
      <c r="C45" s="42">
        <v>0</v>
      </c>
      <c r="D45" s="124">
        <f t="shared" si="2"/>
        <v>-0.31709537901206464</v>
      </c>
      <c r="E45" s="125">
        <f t="shared" si="3"/>
        <v>-0.3030814079047961</v>
      </c>
    </row>
    <row r="46" spans="1:5" x14ac:dyDescent="0.3">
      <c r="A46" s="112">
        <v>3250</v>
      </c>
      <c r="B46" s="39">
        <v>9.0802046436678552E-2</v>
      </c>
      <c r="C46" s="42">
        <v>0</v>
      </c>
      <c r="D46" s="124">
        <f t="shared" si="2"/>
        <v>-0.26018666059640339</v>
      </c>
      <c r="E46" s="125">
        <f t="shared" si="3"/>
        <v>-0.24770466912445277</v>
      </c>
    </row>
    <row r="47" spans="1:5" x14ac:dyDescent="0.3">
      <c r="A47" s="112">
        <v>3500</v>
      </c>
      <c r="B47" s="39">
        <v>9.7437240154466642E-2</v>
      </c>
      <c r="C47" s="42">
        <v>0</v>
      </c>
      <c r="D47" s="124">
        <f t="shared" si="2"/>
        <v>-0.20327794218074208</v>
      </c>
      <c r="E47" s="125">
        <f t="shared" si="3"/>
        <v>-0.19273206168627471</v>
      </c>
    </row>
    <row r="48" spans="1:5" x14ac:dyDescent="0.3">
      <c r="A48" s="112">
        <v>3750</v>
      </c>
      <c r="B48" s="39">
        <v>0.1040240111987325</v>
      </c>
      <c r="C48" s="42">
        <v>1</v>
      </c>
      <c r="D48" s="124">
        <f t="shared" si="2"/>
        <v>-0.1463692237650808</v>
      </c>
      <c r="E48" s="125">
        <f t="shared" si="3"/>
        <v>-0.13816063629881939</v>
      </c>
    </row>
    <row r="49" spans="1:7" x14ac:dyDescent="0.3">
      <c r="A49" s="112">
        <v>4000</v>
      </c>
      <c r="B49" s="39">
        <v>0.11056271295106668</v>
      </c>
      <c r="C49" s="42">
        <v>1</v>
      </c>
      <c r="D49" s="124">
        <f t="shared" si="2"/>
        <v>-8.9460505349419531E-2</v>
      </c>
      <c r="E49" s="125">
        <f t="shared" si="3"/>
        <v>-8.3987465194145183E-2</v>
      </c>
    </row>
    <row r="50" spans="1:7" x14ac:dyDescent="0.3">
      <c r="A50" s="112">
        <v>4250</v>
      </c>
      <c r="B50" s="39">
        <v>0.11705369621413286</v>
      </c>
      <c r="C50" s="42">
        <v>1</v>
      </c>
      <c r="D50" s="124">
        <f t="shared" si="2"/>
        <v>-3.255178693375825E-2</v>
      </c>
      <c r="E50" s="125">
        <f t="shared" si="3"/>
        <v>-3.0209641970730231E-2</v>
      </c>
    </row>
    <row r="51" spans="1:7" x14ac:dyDescent="0.3">
      <c r="A51" s="112">
        <v>4500</v>
      </c>
      <c r="B51" s="39">
        <v>0.12349730923048818</v>
      </c>
      <c r="C51" s="42">
        <v>1</v>
      </c>
      <c r="D51" s="124">
        <f t="shared" si="2"/>
        <v>2.4356931481903026E-2</v>
      </c>
      <c r="E51" s="125">
        <f t="shared" si="3"/>
        <v>2.317571856245387E-2</v>
      </c>
    </row>
    <row r="52" spans="1:7" x14ac:dyDescent="0.3">
      <c r="A52" s="112">
        <v>4750</v>
      </c>
      <c r="B52" s="39">
        <v>0.12989389770126636</v>
      </c>
      <c r="C52" s="42">
        <v>1</v>
      </c>
      <c r="D52" s="124">
        <f t="shared" si="2"/>
        <v>8.126564989756431E-2</v>
      </c>
      <c r="E52" s="125">
        <f t="shared" si="3"/>
        <v>7.6171480540732042E-2</v>
      </c>
    </row>
    <row r="53" spans="1:7" x14ac:dyDescent="0.3">
      <c r="A53" s="112">
        <v>5000</v>
      </c>
      <c r="B53" s="39">
        <v>0.13622001996527944</v>
      </c>
      <c r="C53" s="42">
        <v>1</v>
      </c>
      <c r="D53" s="124">
        <f t="shared" si="2"/>
        <v>0.13817436831322558</v>
      </c>
      <c r="E53" s="125">
        <f t="shared" si="3"/>
        <v>0.12858342970405498</v>
      </c>
    </row>
    <row r="54" spans="1:7" x14ac:dyDescent="0.3">
      <c r="A54" s="112">
        <v>5250</v>
      </c>
      <c r="B54" s="39">
        <v>0.14252375995349131</v>
      </c>
      <c r="C54" s="42">
        <v>1</v>
      </c>
      <c r="D54" s="124">
        <f t="shared" si="2"/>
        <v>0.19508308672888686</v>
      </c>
      <c r="E54" s="125">
        <f t="shared" si="3"/>
        <v>0.18080994161964634</v>
      </c>
    </row>
    <row r="55" spans="1:7" x14ac:dyDescent="0.3">
      <c r="A55" s="112">
        <v>5500</v>
      </c>
      <c r="B55" s="39">
        <v>0.14878149616903258</v>
      </c>
      <c r="C55" s="42">
        <v>1</v>
      </c>
      <c r="D55" s="124">
        <f t="shared" si="2"/>
        <v>0.25199180514454816</v>
      </c>
      <c r="E55" s="125">
        <f t="shared" si="3"/>
        <v>0.23265531208809095</v>
      </c>
    </row>
    <row r="56" spans="1:7" x14ac:dyDescent="0.3">
      <c r="A56" s="112">
        <v>5750</v>
      </c>
      <c r="B56" s="39">
        <v>0.15499356434070921</v>
      </c>
      <c r="C56" s="42">
        <v>1</v>
      </c>
      <c r="D56" s="124">
        <f t="shared" si="2"/>
        <v>0.30890052356020942</v>
      </c>
      <c r="E56" s="125">
        <f t="shared" si="3"/>
        <v>0.28412232262393711</v>
      </c>
    </row>
    <row r="57" spans="1:7" x14ac:dyDescent="0.3">
      <c r="A57" s="112">
        <v>6000</v>
      </c>
      <c r="B57" s="39">
        <v>0.16116029774722751</v>
      </c>
      <c r="C57" s="42">
        <v>1</v>
      </c>
      <c r="D57" s="124">
        <f t="shared" si="2"/>
        <v>0.36580924197587072</v>
      </c>
      <c r="E57" s="125">
        <f t="shared" si="3"/>
        <v>0.33521373444264713</v>
      </c>
    </row>
    <row r="58" spans="1:7" x14ac:dyDescent="0.3">
      <c r="A58" s="112">
        <v>6250</v>
      </c>
      <c r="B58" s="39">
        <v>0.16728202723507468</v>
      </c>
      <c r="C58" s="42">
        <v>1</v>
      </c>
      <c r="D58" s="124">
        <f t="shared" si="2"/>
        <v>0.42271796039153198</v>
      </c>
      <c r="E58" s="125">
        <f t="shared" si="3"/>
        <v>0.38593228860873802</v>
      </c>
    </row>
    <row r="59" spans="1:7" x14ac:dyDescent="0.3">
      <c r="A59" s="115">
        <v>6500</v>
      </c>
      <c r="B59" s="116">
        <v>0.17335908123626831</v>
      </c>
      <c r="C59" s="117">
        <v>1</v>
      </c>
      <c r="D59" s="126">
        <f t="shared" si="2"/>
        <v>0.47962667880719329</v>
      </c>
      <c r="E59" s="127">
        <f t="shared" si="3"/>
        <v>0.43628070618283599</v>
      </c>
    </row>
    <row r="61" spans="1:7" x14ac:dyDescent="0.3">
      <c r="A61" t="s">
        <v>281</v>
      </c>
    </row>
    <row r="62" spans="1:7" ht="43.2" x14ac:dyDescent="0.3">
      <c r="A62" s="108" t="s">
        <v>281</v>
      </c>
      <c r="B62" s="109" t="s">
        <v>276</v>
      </c>
      <c r="C62" s="109" t="s">
        <v>277</v>
      </c>
      <c r="D62" s="110" t="s">
        <v>278</v>
      </c>
      <c r="E62" s="128" t="s">
        <v>282</v>
      </c>
      <c r="F62" s="111" t="s">
        <v>249</v>
      </c>
      <c r="G62" s="111" t="s">
        <v>250</v>
      </c>
    </row>
    <row r="63" spans="1:7" x14ac:dyDescent="0.3">
      <c r="A63" s="112">
        <v>1</v>
      </c>
      <c r="B63" s="39">
        <v>6.7551910350032274E-2</v>
      </c>
      <c r="C63" s="39">
        <v>4.1914923441745855E-2</v>
      </c>
      <c r="D63" s="39">
        <v>9.6392806327949443E-2</v>
      </c>
      <c r="E63" s="42">
        <v>0</v>
      </c>
      <c r="F63" s="122">
        <f>(A63-1.84)/1.84</f>
        <v>-0.45652173913043481</v>
      </c>
      <c r="G63" s="123">
        <f>(B63-0.1207)/0.1207</f>
        <v>-0.4403321429160541</v>
      </c>
    </row>
    <row r="64" spans="1:7" x14ac:dyDescent="0.3">
      <c r="A64" s="112">
        <v>1.1000000000000001</v>
      </c>
      <c r="B64" s="39">
        <v>7.4050865920432529E-2</v>
      </c>
      <c r="C64" s="39">
        <v>4.5995413895932757E-2</v>
      </c>
      <c r="D64" s="39">
        <v>0.10550309226117904</v>
      </c>
      <c r="E64" s="42">
        <v>0</v>
      </c>
      <c r="F64" s="124">
        <f t="shared" ref="F64:F83" si="4">(A64-1.84)/1.84</f>
        <v>-0.40217391304347822</v>
      </c>
      <c r="G64" s="125">
        <f t="shared" ref="G64:G83" si="5">(B64-0.1207)/0.1207</f>
        <v>-0.38648826909335104</v>
      </c>
    </row>
    <row r="65" spans="1:7" x14ac:dyDescent="0.3">
      <c r="A65" s="112">
        <v>1.2</v>
      </c>
      <c r="B65" s="39">
        <v>8.0504525217533596E-2</v>
      </c>
      <c r="C65" s="39">
        <v>5.0084682877039155E-2</v>
      </c>
      <c r="D65" s="39">
        <v>0.11452152709985508</v>
      </c>
      <c r="E65" s="42">
        <v>0</v>
      </c>
      <c r="F65" s="124">
        <f t="shared" si="4"/>
        <v>-0.34782608695652178</v>
      </c>
      <c r="G65" s="125">
        <f t="shared" si="5"/>
        <v>-0.33301967508257169</v>
      </c>
    </row>
    <row r="66" spans="1:7" x14ac:dyDescent="0.3">
      <c r="A66" s="112">
        <v>1.3</v>
      </c>
      <c r="B66" s="39">
        <v>8.6913203946274997E-2</v>
      </c>
      <c r="C66" s="39">
        <v>5.4130378273663404E-2</v>
      </c>
      <c r="D66" s="39">
        <v>0.12344903689872866</v>
      </c>
      <c r="E66" s="42">
        <v>0</v>
      </c>
      <c r="F66" s="124">
        <f t="shared" si="4"/>
        <v>-0.29347826086956524</v>
      </c>
      <c r="G66" s="125">
        <f t="shared" si="5"/>
        <v>-0.27992374526698427</v>
      </c>
    </row>
    <row r="67" spans="1:7" x14ac:dyDescent="0.3">
      <c r="A67" s="112">
        <v>1.4</v>
      </c>
      <c r="B67" s="39">
        <v>9.3277215611203057E-2</v>
      </c>
      <c r="C67" s="39">
        <v>5.8184777341169003E-2</v>
      </c>
      <c r="D67" s="39">
        <v>0.13228653837594528</v>
      </c>
      <c r="E67" s="42">
        <v>0</v>
      </c>
      <c r="F67" s="124">
        <f t="shared" si="4"/>
        <v>-0.23913043478260879</v>
      </c>
      <c r="G67" s="125">
        <f t="shared" si="5"/>
        <v>-0.2271978822601238</v>
      </c>
    </row>
    <row r="68" spans="1:7" x14ac:dyDescent="0.3">
      <c r="A68" s="112">
        <v>1.5</v>
      </c>
      <c r="B68" s="39">
        <v>9.9596871531807074E-2</v>
      </c>
      <c r="C68" s="39">
        <v>6.2195974383787322E-2</v>
      </c>
      <c r="D68" s="39">
        <v>0.14103493900717867</v>
      </c>
      <c r="E68" s="42">
        <v>0</v>
      </c>
      <c r="F68" s="124">
        <f t="shared" si="4"/>
        <v>-0.18478260869565222</v>
      </c>
      <c r="G68" s="125">
        <f t="shared" si="5"/>
        <v>-0.17483950677873178</v>
      </c>
    </row>
    <row r="69" spans="1:7" x14ac:dyDescent="0.3">
      <c r="A69" s="112">
        <v>1.6</v>
      </c>
      <c r="B69" s="39">
        <v>0.10587248085774914</v>
      </c>
      <c r="C69" s="39">
        <v>6.621580087955925E-2</v>
      </c>
      <c r="D69" s="39">
        <v>0.14971855091064823</v>
      </c>
      <c r="E69" s="42">
        <v>1</v>
      </c>
      <c r="F69" s="124">
        <f t="shared" si="4"/>
        <v>-0.13043478260869565</v>
      </c>
      <c r="G69" s="125">
        <f t="shared" si="5"/>
        <v>-0.12284605751657714</v>
      </c>
    </row>
    <row r="70" spans="1:7" x14ac:dyDescent="0.3">
      <c r="A70" s="112">
        <v>1.7</v>
      </c>
      <c r="B70" s="39">
        <v>0.11210435058398671</v>
      </c>
      <c r="C70" s="39">
        <v>7.0192793741685078E-2</v>
      </c>
      <c r="D70" s="39">
        <v>0.15826802198019152</v>
      </c>
      <c r="E70" s="42">
        <v>1</v>
      </c>
      <c r="F70" s="124">
        <f t="shared" si="4"/>
        <v>-7.6086956521739191E-2</v>
      </c>
      <c r="G70" s="125">
        <f t="shared" si="5"/>
        <v>-7.1214991019165619E-2</v>
      </c>
    </row>
    <row r="71" spans="1:7" x14ac:dyDescent="0.3">
      <c r="A71" s="112">
        <v>1.8</v>
      </c>
      <c r="B71" s="39">
        <v>0.11829278556579081</v>
      </c>
      <c r="C71" s="39">
        <v>7.417834247210453E-2</v>
      </c>
      <c r="D71" s="39">
        <v>0.16675447389492315</v>
      </c>
      <c r="E71" s="42">
        <v>1</v>
      </c>
      <c r="F71" s="124">
        <f t="shared" si="4"/>
        <v>-2.1739130434782625E-2</v>
      </c>
      <c r="G71" s="125">
        <f t="shared" si="5"/>
        <v>-1.9943781559313895E-2</v>
      </c>
    </row>
    <row r="72" spans="1:7" x14ac:dyDescent="0.3">
      <c r="A72" s="112">
        <v>1.9</v>
      </c>
      <c r="B72" s="39">
        <v>0.12441397860587577</v>
      </c>
      <c r="C72" s="39">
        <v>7.8121422818782205E-2</v>
      </c>
      <c r="D72" s="39">
        <v>0.17517807701637689</v>
      </c>
      <c r="E72" s="42">
        <v>1</v>
      </c>
      <c r="F72" s="124">
        <f t="shared" si="4"/>
        <v>3.2608695652173822E-2</v>
      </c>
      <c r="G72" s="125">
        <f t="shared" si="5"/>
        <v>3.0770328134844847E-2</v>
      </c>
    </row>
    <row r="73" spans="1:7" x14ac:dyDescent="0.3">
      <c r="A73" s="112">
        <v>2</v>
      </c>
      <c r="B73" s="39">
        <v>0.13051661822117056</v>
      </c>
      <c r="C73" s="39">
        <v>8.2047709561104298E-2</v>
      </c>
      <c r="D73" s="39">
        <v>0.18347155581169339</v>
      </c>
      <c r="E73" s="42">
        <v>1</v>
      </c>
      <c r="F73" s="124">
        <f t="shared" si="4"/>
        <v>8.6956521739130391E-2</v>
      </c>
      <c r="G73" s="125">
        <f t="shared" si="5"/>
        <v>8.1330722627759353E-2</v>
      </c>
    </row>
    <row r="74" spans="1:7" x14ac:dyDescent="0.3">
      <c r="A74" s="112">
        <v>2.1</v>
      </c>
      <c r="B74" s="39">
        <v>0.13657672379713159</v>
      </c>
      <c r="C74" s="39">
        <v>8.5982443085559135E-2</v>
      </c>
      <c r="D74" s="39">
        <v>0.19170390240130053</v>
      </c>
      <c r="E74" s="42">
        <v>1</v>
      </c>
      <c r="F74" s="124">
        <f t="shared" si="4"/>
        <v>0.14130434782608695</v>
      </c>
      <c r="G74" s="125">
        <f t="shared" si="5"/>
        <v>0.13153872242859646</v>
      </c>
    </row>
    <row r="75" spans="1:7" x14ac:dyDescent="0.3">
      <c r="A75" s="112">
        <v>2.2000000000000002</v>
      </c>
      <c r="B75" s="39">
        <v>0.14259459178654244</v>
      </c>
      <c r="C75" s="39">
        <v>8.9875249692407233E-2</v>
      </c>
      <c r="D75" s="39">
        <v>0.19987528204568716</v>
      </c>
      <c r="E75" s="42">
        <v>1</v>
      </c>
      <c r="F75" s="124">
        <f t="shared" si="4"/>
        <v>0.19565217391304351</v>
      </c>
      <c r="G75" s="125">
        <f t="shared" si="5"/>
        <v>0.18139678364989589</v>
      </c>
    </row>
    <row r="76" spans="1:7" x14ac:dyDescent="0.3">
      <c r="A76" s="112">
        <v>2.2999999999999998</v>
      </c>
      <c r="B76" s="39">
        <v>0.14857051657597697</v>
      </c>
      <c r="C76" s="39">
        <v>9.3776431054195974E-2</v>
      </c>
      <c r="D76" s="39">
        <v>0.20794224412152706</v>
      </c>
      <c r="E76" s="42">
        <v>1</v>
      </c>
      <c r="F76" s="124">
        <f t="shared" si="4"/>
        <v>0.24999999999999986</v>
      </c>
      <c r="G76" s="125">
        <f t="shared" si="5"/>
        <v>0.23090734528564186</v>
      </c>
    </row>
    <row r="77" spans="1:7" x14ac:dyDescent="0.3">
      <c r="A77" s="112">
        <v>2.4</v>
      </c>
      <c r="B77" s="39">
        <v>0.15450479050020016</v>
      </c>
      <c r="C77" s="39">
        <v>9.7636043016555596E-2</v>
      </c>
      <c r="D77" s="39">
        <v>0.21590628341292029</v>
      </c>
      <c r="E77" s="129">
        <v>1</v>
      </c>
      <c r="F77" s="124">
        <f t="shared" si="4"/>
        <v>0.30434782608695643</v>
      </c>
      <c r="G77" s="125">
        <f t="shared" si="5"/>
        <v>0.28007282933057298</v>
      </c>
    </row>
    <row r="78" spans="1:7" x14ac:dyDescent="0.3">
      <c r="A78" s="112">
        <v>2.5</v>
      </c>
      <c r="B78" s="39">
        <v>0.16039770385646879</v>
      </c>
      <c r="C78" s="39">
        <v>0.10150395832085191</v>
      </c>
      <c r="D78" s="39">
        <v>0.22383299177393501</v>
      </c>
      <c r="E78" s="129">
        <v>1</v>
      </c>
      <c r="F78" s="124">
        <f t="shared" si="4"/>
        <v>0.35869565217391297</v>
      </c>
      <c r="G78" s="125">
        <f t="shared" si="5"/>
        <v>0.32889564089866435</v>
      </c>
    </row>
    <row r="79" spans="1:7" x14ac:dyDescent="0.3">
      <c r="A79" s="112">
        <v>2.6</v>
      </c>
      <c r="B79" s="39">
        <v>0.16624954491873223</v>
      </c>
      <c r="C79" s="39">
        <v>0.10533065869527691</v>
      </c>
      <c r="D79" s="39">
        <v>0.23165840908623359</v>
      </c>
      <c r="E79" s="129">
        <v>1</v>
      </c>
      <c r="F79" s="124">
        <f t="shared" si="4"/>
        <v>0.41304347826086957</v>
      </c>
      <c r="G79" s="125">
        <f t="shared" si="5"/>
        <v>0.37737816834078064</v>
      </c>
    </row>
    <row r="80" spans="1:7" x14ac:dyDescent="0.3">
      <c r="A80" s="112">
        <v>2.7</v>
      </c>
      <c r="B80" s="39">
        <v>0.17206059995173484</v>
      </c>
      <c r="C80" s="39">
        <v>0.10916559160758599</v>
      </c>
      <c r="D80" s="39">
        <v>0.2393839853763895</v>
      </c>
      <c r="E80" s="129">
        <v>1</v>
      </c>
      <c r="F80" s="124">
        <f t="shared" si="4"/>
        <v>0.46739130434782611</v>
      </c>
      <c r="G80" s="125">
        <f t="shared" si="5"/>
        <v>0.42552278336151478</v>
      </c>
    </row>
    <row r="81" spans="1:7" x14ac:dyDescent="0.3">
      <c r="A81" s="112">
        <v>2.8</v>
      </c>
      <c r="B81" s="39">
        <v>0.17783115322501941</v>
      </c>
      <c r="C81" s="39">
        <v>0.1129596610369572</v>
      </c>
      <c r="D81" s="39">
        <v>0.24707334851640017</v>
      </c>
      <c r="E81" s="129">
        <v>1</v>
      </c>
      <c r="F81" s="124">
        <f t="shared" si="4"/>
        <v>0.52173913043478248</v>
      </c>
      <c r="G81" s="125">
        <f t="shared" si="5"/>
        <v>0.47333184113520638</v>
      </c>
    </row>
    <row r="82" spans="1:7" x14ac:dyDescent="0.3">
      <c r="A82" s="112">
        <v>2.9</v>
      </c>
      <c r="B82" s="39">
        <v>0.18356148702683306</v>
      </c>
      <c r="C82" s="39">
        <v>0.11676189280391858</v>
      </c>
      <c r="D82" s="39">
        <v>0.25466445351180167</v>
      </c>
      <c r="E82" s="129">
        <v>1</v>
      </c>
      <c r="F82" s="124">
        <f t="shared" si="4"/>
        <v>0.57608695652173902</v>
      </c>
      <c r="G82" s="125">
        <f t="shared" si="5"/>
        <v>0.52080768042115211</v>
      </c>
    </row>
    <row r="83" spans="1:7" x14ac:dyDescent="0.3">
      <c r="A83" s="115">
        <v>3</v>
      </c>
      <c r="B83" s="116">
        <v>0.18922955649644213</v>
      </c>
      <c r="C83" s="116">
        <v>0.12052360953802588</v>
      </c>
      <c r="D83" s="116">
        <v>0.26217902399359871</v>
      </c>
      <c r="E83" s="130">
        <v>1</v>
      </c>
      <c r="F83" s="126">
        <f t="shared" si="4"/>
        <v>0.63043478260869557</v>
      </c>
      <c r="G83" s="127">
        <f t="shared" si="5"/>
        <v>0.56776765945685281</v>
      </c>
    </row>
    <row r="86" spans="1:7" ht="43.2" x14ac:dyDescent="0.3">
      <c r="A86" s="108" t="s">
        <v>283</v>
      </c>
      <c r="B86" s="109" t="s">
        <v>276</v>
      </c>
      <c r="C86" s="109" t="s">
        <v>277</v>
      </c>
      <c r="D86" s="110" t="s">
        <v>278</v>
      </c>
      <c r="E86" s="128" t="s">
        <v>282</v>
      </c>
      <c r="F86" s="111" t="s">
        <v>249</v>
      </c>
      <c r="G86" s="111" t="s">
        <v>250</v>
      </c>
    </row>
    <row r="87" spans="1:7" x14ac:dyDescent="0.3">
      <c r="A87" s="112">
        <v>5</v>
      </c>
      <c r="B87" s="39">
        <v>1.0503642998382912E-4</v>
      </c>
      <c r="C87" s="39">
        <v>6.4308869287765802E-5</v>
      </c>
      <c r="D87" s="39">
        <v>1.5223517008555731E-4</v>
      </c>
      <c r="E87" s="42">
        <v>0</v>
      </c>
      <c r="F87" s="122">
        <f>(A87-175)/175</f>
        <v>-0.97142857142857142</v>
      </c>
      <c r="G87" s="123">
        <f>(B87-0.1207)/0.1207</f>
        <v>-0.99912977274247039</v>
      </c>
    </row>
    <row r="88" spans="1:7" x14ac:dyDescent="0.3">
      <c r="A88" s="112">
        <v>15</v>
      </c>
      <c r="B88" s="39">
        <v>9.4493079172242034E-4</v>
      </c>
      <c r="C88" s="39">
        <v>5.7863096322408047E-4</v>
      </c>
      <c r="D88" s="39">
        <v>1.3692825073730042E-3</v>
      </c>
      <c r="E88" s="42">
        <v>0</v>
      </c>
      <c r="F88" s="124">
        <f t="shared" ref="F88:F122" si="6">(A88-175)/175</f>
        <v>-0.91428571428571426</v>
      </c>
      <c r="G88" s="125">
        <f t="shared" ref="G88:G122" si="7">(B88-0.1207)/0.1207</f>
        <v>-0.99217124447620197</v>
      </c>
    </row>
    <row r="89" spans="1:7" x14ac:dyDescent="0.3">
      <c r="A89" s="112">
        <v>25</v>
      </c>
      <c r="B89" s="39">
        <v>2.6226036178792489E-3</v>
      </c>
      <c r="C89" s="39">
        <v>1.6064816544799632E-3</v>
      </c>
      <c r="D89" s="39">
        <v>3.7989346959519388E-3</v>
      </c>
      <c r="E89" s="42">
        <v>0</v>
      </c>
      <c r="F89" s="124">
        <f t="shared" si="6"/>
        <v>-0.8571428571428571</v>
      </c>
      <c r="G89" s="125">
        <f t="shared" si="7"/>
        <v>-0.97827171816172953</v>
      </c>
    </row>
    <row r="90" spans="1:7" x14ac:dyDescent="0.3">
      <c r="A90" s="112">
        <v>35</v>
      </c>
      <c r="B90" s="39">
        <v>5.1338319954230549E-3</v>
      </c>
      <c r="C90" s="39">
        <v>3.1462759898174264E-3</v>
      </c>
      <c r="D90" s="39">
        <v>7.4323337795914046E-3</v>
      </c>
      <c r="E90" s="42">
        <v>0</v>
      </c>
      <c r="F90" s="124">
        <f t="shared" si="6"/>
        <v>-0.8</v>
      </c>
      <c r="G90" s="125">
        <f t="shared" si="7"/>
        <v>-0.9574661806510103</v>
      </c>
    </row>
    <row r="91" spans="1:7" x14ac:dyDescent="0.3">
      <c r="A91" s="112">
        <v>45</v>
      </c>
      <c r="B91" s="39">
        <v>8.4723037066511964E-3</v>
      </c>
      <c r="C91" s="39">
        <v>5.195641632027681E-3</v>
      </c>
      <c r="D91" s="39">
        <v>1.2256260133436503E-2</v>
      </c>
      <c r="E91" s="42">
        <v>0</v>
      </c>
      <c r="F91" s="124">
        <f t="shared" si="6"/>
        <v>-0.74285714285714288</v>
      </c>
      <c r="G91" s="125">
        <f t="shared" si="7"/>
        <v>-0.92980692869385917</v>
      </c>
    </row>
    <row r="92" spans="1:7" x14ac:dyDescent="0.3">
      <c r="A92" s="112">
        <v>55</v>
      </c>
      <c r="B92" s="39">
        <v>1.2629643665695856E-2</v>
      </c>
      <c r="C92" s="39">
        <v>7.7514249505878929E-3</v>
      </c>
      <c r="D92" s="39">
        <v>1.8253212594162127E-2</v>
      </c>
      <c r="E92" s="42">
        <v>0</v>
      </c>
      <c r="F92" s="124">
        <f t="shared" si="6"/>
        <v>-0.68571428571428572</v>
      </c>
      <c r="G92" s="125">
        <f t="shared" si="7"/>
        <v>-0.89536334991138478</v>
      </c>
    </row>
    <row r="93" spans="1:7" x14ac:dyDescent="0.3">
      <c r="A93" s="112">
        <v>65</v>
      </c>
      <c r="B93" s="39">
        <v>1.7595448925532331E-2</v>
      </c>
      <c r="C93" s="39">
        <v>1.0809699108435655E-2</v>
      </c>
      <c r="D93" s="39">
        <v>2.5401514238958978E-2</v>
      </c>
      <c r="E93" s="42">
        <v>0</v>
      </c>
      <c r="F93" s="124">
        <f t="shared" si="6"/>
        <v>-0.62857142857142856</v>
      </c>
      <c r="G93" s="125">
        <f t="shared" si="7"/>
        <v>-0.85422163276278107</v>
      </c>
    </row>
    <row r="94" spans="1:7" x14ac:dyDescent="0.3">
      <c r="A94" s="112">
        <v>75</v>
      </c>
      <c r="B94" s="39">
        <v>2.3357332050692459E-2</v>
      </c>
      <c r="C94" s="39">
        <v>1.4365774115835284E-2</v>
      </c>
      <c r="D94" s="39">
        <v>3.3675442918652876E-2</v>
      </c>
      <c r="E94" s="42">
        <v>0</v>
      </c>
      <c r="F94" s="124">
        <f t="shared" si="6"/>
        <v>-0.5714285714285714</v>
      </c>
      <c r="G94" s="125">
        <f t="shared" si="7"/>
        <v>-0.80648440720221659</v>
      </c>
    </row>
    <row r="95" spans="1:7" x14ac:dyDescent="0.3">
      <c r="A95" s="112">
        <v>85</v>
      </c>
      <c r="B95" s="39">
        <v>2.9900972602592168E-2</v>
      </c>
      <c r="C95" s="39">
        <v>1.8414208815305977E-2</v>
      </c>
      <c r="D95" s="39">
        <v>4.3045385444992812E-2</v>
      </c>
      <c r="E95" s="42">
        <v>0</v>
      </c>
      <c r="F95" s="124">
        <f t="shared" si="6"/>
        <v>-0.51428571428571423</v>
      </c>
      <c r="G95" s="125">
        <f t="shared" si="7"/>
        <v>-0.75227031812268297</v>
      </c>
    </row>
    <row r="96" spans="1:7" x14ac:dyDescent="0.3">
      <c r="A96" s="112">
        <v>95</v>
      </c>
      <c r="B96" s="39">
        <v>3.7210176437989184E-2</v>
      </c>
      <c r="C96" s="39">
        <v>2.2948824754740582E-2</v>
      </c>
      <c r="D96" s="39">
        <v>5.3478014138787722E-2</v>
      </c>
      <c r="E96" s="42">
        <v>0</v>
      </c>
      <c r="F96" s="124">
        <f t="shared" si="6"/>
        <v>-0.45714285714285713</v>
      </c>
      <c r="G96" s="125">
        <f t="shared" si="7"/>
        <v>-0.6917135340680266</v>
      </c>
    </row>
    <row r="97" spans="1:7" x14ac:dyDescent="0.3">
      <c r="A97" s="112">
        <v>105</v>
      </c>
      <c r="B97" s="39">
        <v>4.5266942476929861E-2</v>
      </c>
      <c r="C97" s="39">
        <v>2.7962721899206233E-2</v>
      </c>
      <c r="D97" s="39">
        <v>6.4936484266161165E-2</v>
      </c>
      <c r="E97" s="42">
        <v>0</v>
      </c>
      <c r="F97" s="124">
        <f t="shared" si="6"/>
        <v>-0.4</v>
      </c>
      <c r="G97" s="125">
        <f t="shared" si="7"/>
        <v>-0.62496319406023315</v>
      </c>
    </row>
    <row r="98" spans="1:7" x14ac:dyDescent="0.3">
      <c r="A98" s="112">
        <v>115</v>
      </c>
      <c r="B98" s="39">
        <v>5.4051536554947877E-2</v>
      </c>
      <c r="C98" s="39">
        <v>3.3448296125500931E-2</v>
      </c>
      <c r="D98" s="39">
        <v>7.7380650726568079E-2</v>
      </c>
      <c r="E98" s="42">
        <v>0</v>
      </c>
      <c r="F98" s="124">
        <f t="shared" si="6"/>
        <v>-0.34285714285714286</v>
      </c>
      <c r="G98" s="125">
        <f t="shared" si="7"/>
        <v>-0.5521827957336547</v>
      </c>
    </row>
    <row r="99" spans="1:7" x14ac:dyDescent="0.3">
      <c r="A99" s="112">
        <v>125</v>
      </c>
      <c r="B99" s="39">
        <v>6.3542571935539693E-2</v>
      </c>
      <c r="C99" s="39">
        <v>3.9397258437383398E-2</v>
      </c>
      <c r="D99" s="39">
        <v>9.0767302210015277E-2</v>
      </c>
      <c r="E99" s="42">
        <v>0</v>
      </c>
      <c r="F99" s="124">
        <f t="shared" si="6"/>
        <v>-0.2857142857142857</v>
      </c>
      <c r="G99" s="125">
        <f t="shared" si="7"/>
        <v>-0.4735495282888178</v>
      </c>
    </row>
    <row r="100" spans="1:7" x14ac:dyDescent="0.3">
      <c r="A100" s="112">
        <v>135</v>
      </c>
      <c r="B100" s="39">
        <v>7.3717096023327433E-2</v>
      </c>
      <c r="C100" s="39">
        <v>4.5800655833517445E-2</v>
      </c>
      <c r="D100" s="39">
        <v>0.10505041091356182</v>
      </c>
      <c r="E100" s="42">
        <v>0</v>
      </c>
      <c r="F100" s="124">
        <f t="shared" si="6"/>
        <v>-0.22857142857142856</v>
      </c>
      <c r="G100" s="125">
        <f t="shared" si="7"/>
        <v>-0.38925355407350926</v>
      </c>
    </row>
    <row r="101" spans="1:7" x14ac:dyDescent="0.3">
      <c r="A101" s="112">
        <v>145</v>
      </c>
      <c r="B101" s="39">
        <v>8.4550682786082132E-2</v>
      </c>
      <c r="C101" s="39">
        <v>5.2648893754605797E-2</v>
      </c>
      <c r="D101" s="39">
        <v>0.1201813957998219</v>
      </c>
      <c r="E101" s="42">
        <v>0</v>
      </c>
      <c r="F101" s="124">
        <f t="shared" si="6"/>
        <v>-0.17142857142857143</v>
      </c>
      <c r="G101" s="125">
        <f t="shared" si="7"/>
        <v>-0.29949724286593099</v>
      </c>
    </row>
    <row r="102" spans="1:7" x14ac:dyDescent="0.3">
      <c r="A102" s="112">
        <v>155</v>
      </c>
      <c r="B102" s="39">
        <v>9.6017530365120063E-2</v>
      </c>
      <c r="C102" s="39">
        <v>5.9931760030957681E-2</v>
      </c>
      <c r="D102" s="39">
        <v>0.13610939729374849</v>
      </c>
      <c r="E102" s="42">
        <v>0</v>
      </c>
      <c r="F102" s="124">
        <f t="shared" si="6"/>
        <v>-0.11428571428571428</v>
      </c>
      <c r="G102" s="125">
        <f t="shared" si="7"/>
        <v>-0.20449436317216188</v>
      </c>
    </row>
    <row r="103" spans="1:7" x14ac:dyDescent="0.3">
      <c r="A103" s="112">
        <v>165</v>
      </c>
      <c r="B103" s="39">
        <v>0.1080905633286956</v>
      </c>
      <c r="C103" s="39">
        <v>6.7638450246850335E-2</v>
      </c>
      <c r="D103" s="39">
        <v>0.15278156124910569</v>
      </c>
      <c r="E103" s="42">
        <v>1</v>
      </c>
      <c r="F103" s="124">
        <f t="shared" si="6"/>
        <v>-5.7142857142857141E-2</v>
      </c>
      <c r="G103" s="125">
        <f t="shared" si="7"/>
        <v>-0.1044692350563745</v>
      </c>
    </row>
    <row r="104" spans="1:7" x14ac:dyDescent="0.3">
      <c r="A104" s="112">
        <v>175</v>
      </c>
      <c r="B104" s="39">
        <v>0.12074153900203199</v>
      </c>
      <c r="C104" s="39">
        <v>7.5757594433549902E-2</v>
      </c>
      <c r="D104" s="39">
        <v>0.17014332997311399</v>
      </c>
      <c r="E104" s="42">
        <v>1</v>
      </c>
      <c r="F104" s="124">
        <f t="shared" si="6"/>
        <v>0</v>
      </c>
      <c r="G104" s="125">
        <f t="shared" si="7"/>
        <v>3.4415080391046222E-4</v>
      </c>
    </row>
    <row r="105" spans="1:7" x14ac:dyDescent="0.3">
      <c r="A105" s="112">
        <v>185</v>
      </c>
      <c r="B105" s="39">
        <v>0.13394115729067824</v>
      </c>
      <c r="C105" s="39">
        <v>8.4277284998739765E-2</v>
      </c>
      <c r="D105" s="39">
        <v>0.18813873807687786</v>
      </c>
      <c r="E105" s="42">
        <v>1</v>
      </c>
      <c r="F105" s="124">
        <f t="shared" si="6"/>
        <v>5.7142857142857141E-2</v>
      </c>
      <c r="G105" s="125">
        <f t="shared" si="7"/>
        <v>0.10970304300479068</v>
      </c>
    </row>
    <row r="106" spans="1:7" x14ac:dyDescent="0.3">
      <c r="A106" s="112">
        <v>195</v>
      </c>
      <c r="B106" s="39">
        <v>0.14765917340103096</v>
      </c>
      <c r="C106" s="39">
        <v>9.3185105796411594E-2</v>
      </c>
      <c r="D106" s="39">
        <v>0.20671071092023141</v>
      </c>
      <c r="E106" s="42">
        <v>1</v>
      </c>
      <c r="F106" s="124">
        <f t="shared" si="6"/>
        <v>0.11428571428571428</v>
      </c>
      <c r="G106" s="125">
        <f t="shared" si="7"/>
        <v>0.22335686330597315</v>
      </c>
    </row>
    <row r="107" spans="1:7" x14ac:dyDescent="0.3">
      <c r="A107" s="112">
        <v>205</v>
      </c>
      <c r="B107" s="39">
        <v>0.16186451285315895</v>
      </c>
      <c r="C107" s="39">
        <v>0.10246816223799171</v>
      </c>
      <c r="D107" s="39">
        <v>0.22580136344213408</v>
      </c>
      <c r="E107" s="42">
        <v>1</v>
      </c>
      <c r="F107" s="124">
        <f t="shared" si="6"/>
        <v>0.17142857142857143</v>
      </c>
      <c r="G107" s="125">
        <f t="shared" si="7"/>
        <v>0.34104815951250161</v>
      </c>
    </row>
    <row r="108" spans="1:7" x14ac:dyDescent="0.3">
      <c r="A108" s="112">
        <v>215</v>
      </c>
      <c r="B108" s="39">
        <v>0.17652538817651908</v>
      </c>
      <c r="C108" s="39">
        <v>0.11211311234263954</v>
      </c>
      <c r="D108" s="39">
        <v>0.24535229721105256</v>
      </c>
      <c r="E108" s="42">
        <v>1</v>
      </c>
      <c r="F108" s="124">
        <f t="shared" si="6"/>
        <v>0.22857142857142856</v>
      </c>
      <c r="G108" s="125">
        <f t="shared" si="7"/>
        <v>0.46251357229924672</v>
      </c>
    </row>
    <row r="109" spans="1:7" x14ac:dyDescent="0.3">
      <c r="A109" s="112">
        <v>225</v>
      </c>
      <c r="B109">
        <v>0.19160941667874187</v>
      </c>
      <c r="C109">
        <v>0.12210619862225291</v>
      </c>
      <c r="D109">
        <v>0.26530489359296472</v>
      </c>
      <c r="E109" s="42">
        <v>1</v>
      </c>
      <c r="F109" s="124">
        <f t="shared" si="6"/>
        <v>0.2857142857142857</v>
      </c>
      <c r="G109" s="125">
        <f t="shared" si="7"/>
        <v>0.58748481092578186</v>
      </c>
    </row>
    <row r="110" spans="1:7" x14ac:dyDescent="0.3">
      <c r="A110" s="112">
        <v>235</v>
      </c>
      <c r="B110">
        <v>0.20708373868131047</v>
      </c>
      <c r="C110">
        <v>0.13243328069477012</v>
      </c>
      <c r="D110">
        <v>0.28560060101659024</v>
      </c>
      <c r="E110" s="42">
        <v>1</v>
      </c>
      <c r="F110" s="124">
        <f t="shared" si="6"/>
        <v>0.34285714285714286</v>
      </c>
      <c r="G110" s="125">
        <f t="shared" si="7"/>
        <v>0.71568963281947362</v>
      </c>
    </row>
    <row r="111" spans="1:7" x14ac:dyDescent="0.3">
      <c r="A111" s="112">
        <v>245</v>
      </c>
      <c r="B111">
        <v>0.22291513562359022</v>
      </c>
      <c r="C111">
        <v>0.14307986851786814</v>
      </c>
      <c r="D111">
        <v>0.30618121441486856</v>
      </c>
      <c r="E111" s="42">
        <v>1</v>
      </c>
      <c r="F111" s="124">
        <f t="shared" si="6"/>
        <v>0.4</v>
      </c>
      <c r="G111" s="125">
        <f t="shared" si="7"/>
        <v>0.84685282206785595</v>
      </c>
    </row>
    <row r="112" spans="1:7" x14ac:dyDescent="0.3">
      <c r="A112" s="112">
        <v>255</v>
      </c>
      <c r="B112">
        <v>0.2390701474481427</v>
      </c>
      <c r="C112">
        <v>0.15403115613412022</v>
      </c>
      <c r="D112">
        <v>0.32698914503705867</v>
      </c>
      <c r="E112" s="42">
        <v>1</v>
      </c>
      <c r="F112" s="124">
        <f t="shared" si="6"/>
        <v>0.45714285714285713</v>
      </c>
      <c r="G112" s="125">
        <f t="shared" si="7"/>
        <v>0.98069716195644319</v>
      </c>
    </row>
    <row r="113" spans="1:7" x14ac:dyDescent="0.3">
      <c r="A113" s="112">
        <v>265</v>
      </c>
      <c r="B113">
        <v>0.255515188695429</v>
      </c>
      <c r="C113">
        <v>0.16527205581810112</v>
      </c>
      <c r="D113">
        <v>0.34796767895547254</v>
      </c>
      <c r="E113" s="42">
        <v>1</v>
      </c>
      <c r="F113" s="124">
        <f t="shared" si="6"/>
        <v>0.51428571428571423</v>
      </c>
      <c r="G113" s="125">
        <f t="shared" si="7"/>
        <v>1.1169443968138275</v>
      </c>
    </row>
    <row r="114" spans="1:7" x14ac:dyDescent="0.3">
      <c r="A114" s="112">
        <v>275</v>
      </c>
      <c r="B114">
        <v>0.27221666275470147</v>
      </c>
      <c r="C114">
        <v>0.17678723251580608</v>
      </c>
      <c r="D114">
        <v>0.36906122273298914</v>
      </c>
      <c r="E114" s="42">
        <v>1</v>
      </c>
      <c r="F114" s="124">
        <f t="shared" si="6"/>
        <v>0.5714285714285714</v>
      </c>
      <c r="G114" s="125">
        <f t="shared" si="7"/>
        <v>1.2553161785807909</v>
      </c>
    </row>
    <row r="115" spans="1:7" x14ac:dyDescent="0.3">
      <c r="A115" s="112">
        <v>285</v>
      </c>
      <c r="B115">
        <v>0.28914107373986453</v>
      </c>
      <c r="C115">
        <v>0.18856113846707434</v>
      </c>
      <c r="D115">
        <v>0.39021553487024452</v>
      </c>
      <c r="E115" s="42">
        <v>1</v>
      </c>
      <c r="F115" s="124">
        <f t="shared" si="6"/>
        <v>0.62857142857142856</v>
      </c>
      <c r="G115" s="125">
        <f t="shared" si="7"/>
        <v>1.3955349937022745</v>
      </c>
    </row>
    <row r="116" spans="1:7" x14ac:dyDescent="0.3">
      <c r="A116" s="112">
        <v>295</v>
      </c>
      <c r="B116">
        <v>0.30625513548415917</v>
      </c>
      <c r="C116">
        <v>0.20057804790248213</v>
      </c>
      <c r="D116">
        <v>0.41137794181279386</v>
      </c>
      <c r="E116" s="42">
        <v>1</v>
      </c>
      <c r="F116" s="124">
        <f t="shared" si="6"/>
        <v>0.68571428571428572</v>
      </c>
      <c r="G116" s="125">
        <f t="shared" si="7"/>
        <v>1.5373250661487918</v>
      </c>
    </row>
    <row r="117" spans="1:7" x14ac:dyDescent="0.3">
      <c r="A117" s="112">
        <v>305</v>
      </c>
      <c r="B117">
        <v>0.32352587717540371</v>
      </c>
      <c r="C117">
        <v>0.21282209170736954</v>
      </c>
      <c r="D117">
        <v>0.4324975374665988</v>
      </c>
      <c r="E117" s="42">
        <v>1</v>
      </c>
      <c r="F117" s="124">
        <f t="shared" si="6"/>
        <v>0.74285714285714288</v>
      </c>
      <c r="G117" s="125">
        <f t="shared" si="7"/>
        <v>1.680413232604836</v>
      </c>
    </row>
    <row r="118" spans="1:7" x14ac:dyDescent="0.3">
      <c r="A118" s="112">
        <v>315</v>
      </c>
      <c r="B118">
        <v>0.34092074518396132</v>
      </c>
      <c r="C118">
        <v>0.22527729194729296</v>
      </c>
      <c r="D118">
        <v>0.4535253653428728</v>
      </c>
      <c r="E118" s="42">
        <v>1</v>
      </c>
      <c r="F118" s="124">
        <f t="shared" si="6"/>
        <v>0.8</v>
      </c>
      <c r="G118" s="125">
        <f t="shared" si="7"/>
        <v>1.8245297861140126</v>
      </c>
    </row>
    <row r="119" spans="1:7" x14ac:dyDescent="0.3">
      <c r="A119" s="112">
        <v>325</v>
      </c>
      <c r="B119">
        <v>0.35840770066830296</v>
      </c>
      <c r="C119">
        <v>0.23792759615122538</v>
      </c>
      <c r="D119">
        <v>0.47441458262862479</v>
      </c>
      <c r="E119" s="42">
        <v>1</v>
      </c>
      <c r="F119" s="124">
        <f t="shared" si="6"/>
        <v>0.8571428571428571</v>
      </c>
      <c r="G119" s="125">
        <f t="shared" si="7"/>
        <v>1.9694092847415323</v>
      </c>
    </row>
    <row r="120" spans="1:7" x14ac:dyDescent="0.3">
      <c r="A120" s="112">
        <v>335</v>
      </c>
      <c r="B120">
        <v>0.37595531257770209</v>
      </c>
      <c r="C120">
        <v>0.2507569112512581</v>
      </c>
      <c r="D120">
        <v>0.49512060565519533</v>
      </c>
      <c r="E120" s="42">
        <v>1</v>
      </c>
      <c r="F120" s="124">
        <f t="shared" si="6"/>
        <v>0.91428571428571426</v>
      </c>
      <c r="G120" s="125">
        <f t="shared" si="7"/>
        <v>2.1147913221019228</v>
      </c>
    </row>
    <row r="121" spans="1:7" x14ac:dyDescent="0.3">
      <c r="A121" s="112">
        <v>345</v>
      </c>
      <c r="B121">
        <v>0.3935328457079218</v>
      </c>
      <c r="C121">
        <v>0.26374913708035397</v>
      </c>
      <c r="D121">
        <v>0.51560123641175482</v>
      </c>
      <c r="E121" s="42">
        <v>1</v>
      </c>
      <c r="F121" s="124">
        <f t="shared" si="6"/>
        <v>0.97142857142857142</v>
      </c>
      <c r="G121" s="125">
        <f t="shared" si="7"/>
        <v>2.2604212569007602</v>
      </c>
    </row>
    <row r="122" spans="1:7" x14ac:dyDescent="0.3">
      <c r="A122" s="115">
        <v>355</v>
      </c>
      <c r="B122" s="116">
        <v>0.41111034350343079</v>
      </c>
      <c r="C122" s="116">
        <v>0.27688819933286679</v>
      </c>
      <c r="D122" s="116">
        <v>0.53581676992232752</v>
      </c>
      <c r="E122" s="117">
        <v>1</v>
      </c>
      <c r="F122" s="126">
        <f t="shared" si="6"/>
        <v>1.0285714285714285</v>
      </c>
      <c r="G122" s="127">
        <f t="shared" si="7"/>
        <v>2.4060508989513734</v>
      </c>
    </row>
    <row r="123" spans="1:7" x14ac:dyDescent="0.3">
      <c r="F123" s="39"/>
      <c r="G123" s="39"/>
    </row>
    <row r="125" spans="1:7" ht="43.2" x14ac:dyDescent="0.3">
      <c r="A125" s="108" t="s">
        <v>268</v>
      </c>
      <c r="B125" s="109" t="s">
        <v>276</v>
      </c>
      <c r="C125" s="109" t="s">
        <v>277</v>
      </c>
      <c r="D125" s="110" t="s">
        <v>278</v>
      </c>
      <c r="E125" s="128" t="s">
        <v>282</v>
      </c>
      <c r="F125" s="111" t="s">
        <v>249</v>
      </c>
      <c r="G125" s="111" t="s">
        <v>250</v>
      </c>
    </row>
    <row r="126" spans="1:7" x14ac:dyDescent="0.3">
      <c r="A126" s="131">
        <v>0.05</v>
      </c>
      <c r="B126" s="120">
        <v>0.11506631188702399</v>
      </c>
      <c r="C126" s="120">
        <v>7.2109782365647135E-2</v>
      </c>
      <c r="D126" s="120">
        <v>0.16236862827835641</v>
      </c>
      <c r="E126" s="120">
        <v>1</v>
      </c>
      <c r="F126" s="132">
        <f>(A126-0.78)/0.78</f>
        <v>-0.93589743589743579</v>
      </c>
      <c r="G126" s="133">
        <f>(B126-0.0279)/0.0279</f>
        <v>3.1242405694273825</v>
      </c>
    </row>
    <row r="127" spans="1:7" x14ac:dyDescent="0.3">
      <c r="A127" s="134">
        <v>0.1</v>
      </c>
      <c r="B127" s="39">
        <v>0.10935445367406738</v>
      </c>
      <c r="C127" s="39">
        <v>6.8447573065154144E-2</v>
      </c>
      <c r="D127" s="39">
        <v>0.15452108751556992</v>
      </c>
      <c r="E127" s="39">
        <v>1</v>
      </c>
      <c r="F127" s="135">
        <f t="shared" ref="F127:F144" si="8">(A127-0.78)/0.78</f>
        <v>-0.87179487179487181</v>
      </c>
      <c r="G127" s="136">
        <f t="shared" ref="G127:G144" si="9">(B127-0.0279)/0.0279</f>
        <v>2.9195144686045649</v>
      </c>
    </row>
    <row r="128" spans="1:7" x14ac:dyDescent="0.3">
      <c r="A128" s="134">
        <v>0.15</v>
      </c>
      <c r="B128" s="39">
        <v>0.1036057279255167</v>
      </c>
      <c r="C128" s="39">
        <v>6.4770909708884217E-2</v>
      </c>
      <c r="D128" s="39">
        <v>0.14660002527531402</v>
      </c>
      <c r="E128" s="39">
        <v>1</v>
      </c>
      <c r="F128" s="135">
        <f t="shared" si="8"/>
        <v>-0.80769230769230771</v>
      </c>
      <c r="G128" s="136">
        <f t="shared" si="9"/>
        <v>2.713466950735365</v>
      </c>
    </row>
    <row r="129" spans="1:7" x14ac:dyDescent="0.3">
      <c r="A129" s="134">
        <v>0.2</v>
      </c>
      <c r="B129" s="39">
        <v>9.7819896677625251E-2</v>
      </c>
      <c r="C129" s="39">
        <v>6.1079735249379929E-2</v>
      </c>
      <c r="D129" s="39">
        <v>0.13860475275483997</v>
      </c>
      <c r="E129" s="39">
        <v>0</v>
      </c>
      <c r="F129" s="135">
        <f t="shared" si="8"/>
        <v>-0.74358974358974361</v>
      </c>
      <c r="G129" s="136">
        <f t="shared" si="9"/>
        <v>2.5060894866532344</v>
      </c>
    </row>
    <row r="130" spans="1:7" x14ac:dyDescent="0.3">
      <c r="A130" s="134">
        <v>0.25</v>
      </c>
      <c r="B130" s="39">
        <v>9.1996720430694956E-2</v>
      </c>
      <c r="C130" s="39">
        <v>5.7373992414028629E-2</v>
      </c>
      <c r="D130" s="39">
        <v>0.13053457469819307</v>
      </c>
      <c r="E130" s="39">
        <v>0</v>
      </c>
      <c r="F130" s="135">
        <f t="shared" si="8"/>
        <v>-0.67948717948717952</v>
      </c>
      <c r="G130" s="136">
        <f t="shared" si="9"/>
        <v>2.2973734921396036</v>
      </c>
    </row>
    <row r="131" spans="1:7" x14ac:dyDescent="0.3">
      <c r="A131" s="134">
        <v>0.3</v>
      </c>
      <c r="B131" s="39">
        <v>8.6135958139162194E-2</v>
      </c>
      <c r="C131" s="39">
        <v>5.3653623704173037E-2</v>
      </c>
      <c r="D131" s="39">
        <v>0.12238878933575459</v>
      </c>
      <c r="E131" s="39">
        <v>0</v>
      </c>
      <c r="F131" s="135">
        <f t="shared" si="8"/>
        <v>-0.61538461538461542</v>
      </c>
      <c r="G131" s="136">
        <f t="shared" si="9"/>
        <v>2.0873103275685372</v>
      </c>
    </row>
    <row r="132" spans="1:7" x14ac:dyDescent="0.3">
      <c r="A132" s="134">
        <v>0.35</v>
      </c>
      <c r="B132" s="39">
        <v>8.0237367201620557E-2</v>
      </c>
      <c r="C132" s="39">
        <v>4.9918571394219624E-2</v>
      </c>
      <c r="D132" s="39">
        <v>0.11416668832321653</v>
      </c>
      <c r="E132" s="39">
        <v>0</v>
      </c>
      <c r="F132" s="135">
        <f t="shared" si="8"/>
        <v>-0.55128205128205132</v>
      </c>
      <c r="G132" s="136">
        <f t="shared" si="9"/>
        <v>1.8758912975491238</v>
      </c>
    </row>
    <row r="133" spans="1:7" x14ac:dyDescent="0.3">
      <c r="A133" s="134">
        <v>0.4</v>
      </c>
      <c r="B133" s="39">
        <v>7.4300703450777661E-2</v>
      </c>
      <c r="C133" s="39">
        <v>4.6168777530742444E-2</v>
      </c>
      <c r="D133" s="39">
        <v>0.10586755667998582</v>
      </c>
      <c r="E133" s="39">
        <v>0</v>
      </c>
      <c r="F133" s="135">
        <f t="shared" si="8"/>
        <v>-0.48717948717948717</v>
      </c>
      <c r="G133" s="136">
        <f t="shared" si="9"/>
        <v>1.6631076505655074</v>
      </c>
    </row>
    <row r="134" spans="1:7" x14ac:dyDescent="0.3">
      <c r="A134" s="134">
        <v>0.45</v>
      </c>
      <c r="B134" s="39">
        <v>6.8325721143348783E-2</v>
      </c>
      <c r="C134" s="39">
        <v>4.2404183931584516E-2</v>
      </c>
      <c r="D134" s="39">
        <v>9.7490672727010508E-2</v>
      </c>
      <c r="E134" s="39">
        <v>0</v>
      </c>
      <c r="F134" s="135">
        <f t="shared" si="8"/>
        <v>-0.42307692307692307</v>
      </c>
      <c r="G134" s="136">
        <f t="shared" si="9"/>
        <v>1.4489505786146517</v>
      </c>
    </row>
    <row r="135" spans="1:7" x14ac:dyDescent="0.3">
      <c r="A135" s="134">
        <v>0.5</v>
      </c>
      <c r="B135" s="39">
        <v>6.2312172949884115E-2</v>
      </c>
      <c r="C135" s="39">
        <v>3.8624732184954658E-2</v>
      </c>
      <c r="D135" s="39">
        <v>8.9035308024023374E-2</v>
      </c>
      <c r="E135" s="39">
        <v>0</v>
      </c>
      <c r="F135" s="135">
        <f t="shared" si="8"/>
        <v>-0.35897435897435898</v>
      </c>
      <c r="G135" s="136">
        <f t="shared" si="9"/>
        <v>1.2334112168417244</v>
      </c>
    </row>
    <row r="136" spans="1:7" x14ac:dyDescent="0.3">
      <c r="A136" s="134">
        <v>0.55000000000000004</v>
      </c>
      <c r="B136" s="39">
        <v>5.6259809944531058E-2</v>
      </c>
      <c r="C136" s="39">
        <v>3.4830363648521212E-2</v>
      </c>
      <c r="D136" s="39">
        <v>8.0500727306198394E-2</v>
      </c>
      <c r="E136" s="39">
        <v>0</v>
      </c>
      <c r="F136" s="135">
        <f t="shared" si="8"/>
        <v>-0.29487179487179482</v>
      </c>
      <c r="G136" s="136">
        <f t="shared" si="9"/>
        <v>1.0164806431731561</v>
      </c>
    </row>
    <row r="137" spans="1:7" x14ac:dyDescent="0.3">
      <c r="A137" s="134">
        <v>0.6</v>
      </c>
      <c r="B137" s="39">
        <v>5.0168381594729805E-2</v>
      </c>
      <c r="C137" s="39">
        <v>3.1021019448502107E-2</v>
      </c>
      <c r="D137" s="39">
        <v>7.1886188420213215E-2</v>
      </c>
      <c r="E137" s="39">
        <v>0</v>
      </c>
      <c r="F137" s="135">
        <f t="shared" si="8"/>
        <v>-0.23076923076923084</v>
      </c>
      <c r="G137" s="136">
        <f t="shared" si="9"/>
        <v>0.79814987794730474</v>
      </c>
    </row>
    <row r="138" spans="1:7" x14ac:dyDescent="0.3">
      <c r="A138" s="134">
        <v>0.65</v>
      </c>
      <c r="B138" s="39">
        <v>4.4037635750843074E-2</v>
      </c>
      <c r="C138" s="39">
        <v>2.719664047875181E-2</v>
      </c>
      <c r="D138" s="39">
        <v>6.3190942259712446E-2</v>
      </c>
      <c r="E138" s="39">
        <v>0</v>
      </c>
      <c r="F138" s="135">
        <f t="shared" si="8"/>
        <v>-0.16666666666666666</v>
      </c>
      <c r="G138" s="136">
        <f t="shared" si="9"/>
        <v>0.57840988354276246</v>
      </c>
    </row>
    <row r="139" spans="1:7" x14ac:dyDescent="0.3">
      <c r="A139" s="134">
        <v>0.7</v>
      </c>
      <c r="B139" s="39">
        <v>3.786731863571835E-2</v>
      </c>
      <c r="C139" s="39">
        <v>2.3357167399843393E-2</v>
      </c>
      <c r="D139" s="39">
        <v>5.4414232700166876E-2</v>
      </c>
      <c r="E139" s="39">
        <v>0</v>
      </c>
      <c r="F139" s="135">
        <f t="shared" si="8"/>
        <v>-0.10256410256410266</v>
      </c>
      <c r="G139" s="136">
        <f t="shared" si="9"/>
        <v>0.35725156400424185</v>
      </c>
    </row>
    <row r="140" spans="1:7" x14ac:dyDescent="0.3">
      <c r="A140" s="134">
        <v>0.75</v>
      </c>
      <c r="B140" s="39">
        <v>3.1657174834183066E-2</v>
      </c>
      <c r="C140" s="39">
        <v>1.9502540638148713E-2</v>
      </c>
      <c r="D140" s="39">
        <v>4.5555296533121958E-2</v>
      </c>
      <c r="E140" s="39">
        <v>0</v>
      </c>
      <c r="F140" s="135">
        <f t="shared" si="8"/>
        <v>-3.8461538461538491E-2</v>
      </c>
      <c r="G140" s="136">
        <f t="shared" si="9"/>
        <v>0.13466576466605967</v>
      </c>
    </row>
    <row r="141" spans="1:7" x14ac:dyDescent="0.3">
      <c r="A141" s="134">
        <v>0.8</v>
      </c>
      <c r="B141" s="39">
        <v>2.5406947282472059E-2</v>
      </c>
      <c r="C141" s="39">
        <v>1.5632700384913267E-2</v>
      </c>
      <c r="D141" s="39">
        <v>3.6613363399830567E-2</v>
      </c>
      <c r="E141" s="39">
        <v>0</v>
      </c>
      <c r="F141" s="135">
        <f t="shared" si="8"/>
        <v>2.5641025641025664E-2</v>
      </c>
      <c r="G141" s="136">
        <f t="shared" si="9"/>
        <v>-8.9356728226807972E-2</v>
      </c>
    </row>
    <row r="142" spans="1:7" x14ac:dyDescent="0.3">
      <c r="A142" s="134">
        <v>0.85</v>
      </c>
      <c r="B142" s="39">
        <v>1.9116377257586303E-2</v>
      </c>
      <c r="C142" s="39">
        <v>1.174758659532904E-2</v>
      </c>
      <c r="D142" s="39">
        <v>2.7587655724263693E-2</v>
      </c>
      <c r="E142" s="39">
        <v>0</v>
      </c>
      <c r="F142" s="135">
        <f t="shared" si="8"/>
        <v>8.9743589743589675E-2</v>
      </c>
      <c r="G142" s="136">
        <f t="shared" si="9"/>
        <v>-0.31482518790013253</v>
      </c>
    </row>
    <row r="143" spans="1:7" x14ac:dyDescent="0.3">
      <c r="A143" s="134">
        <v>0.9</v>
      </c>
      <c r="B143" s="39">
        <v>1.2785204366583702E-2</v>
      </c>
      <c r="C143" s="39">
        <v>7.8471389876020314E-3</v>
      </c>
      <c r="D143" s="39">
        <v>1.8477388645493642E-2</v>
      </c>
      <c r="E143" s="39">
        <v>0</v>
      </c>
      <c r="F143" s="135">
        <f t="shared" si="8"/>
        <v>0.15384615384615383</v>
      </c>
      <c r="G143" s="136">
        <f t="shared" si="9"/>
        <v>-0.54174894743427593</v>
      </c>
    </row>
    <row r="144" spans="1:7" x14ac:dyDescent="0.3">
      <c r="A144" s="137">
        <v>0.95</v>
      </c>
      <c r="B144" s="116">
        <v>6.4131665357998191E-3</v>
      </c>
      <c r="C144" s="116">
        <v>3.9312970420173343E-3</v>
      </c>
      <c r="D144" s="116">
        <v>9.2817699494440742E-3</v>
      </c>
      <c r="E144" s="116">
        <v>0</v>
      </c>
      <c r="F144" s="138">
        <f t="shared" si="8"/>
        <v>0.21794871794871784</v>
      </c>
      <c r="G144" s="139">
        <f t="shared" si="9"/>
        <v>-0.7701374001505441</v>
      </c>
    </row>
    <row r="147" spans="1:7" ht="43.2" x14ac:dyDescent="0.3">
      <c r="A147" s="108" t="s">
        <v>284</v>
      </c>
      <c r="B147" s="109" t="s">
        <v>276</v>
      </c>
      <c r="C147" s="109" t="s">
        <v>277</v>
      </c>
      <c r="D147" s="110" t="s">
        <v>278</v>
      </c>
      <c r="E147" s="128" t="s">
        <v>282</v>
      </c>
      <c r="F147" s="111" t="s">
        <v>249</v>
      </c>
      <c r="G147" s="140" t="s">
        <v>250</v>
      </c>
    </row>
    <row r="148" spans="1:7" x14ac:dyDescent="0.3">
      <c r="A148" s="119">
        <v>1</v>
      </c>
      <c r="B148" s="120">
        <v>0.12074153900203199</v>
      </c>
      <c r="C148" s="120">
        <v>7.5757594433549902E-2</v>
      </c>
      <c r="D148" s="120">
        <v>0.17014332997311399</v>
      </c>
      <c r="E148" s="121">
        <v>1</v>
      </c>
      <c r="F148" s="141">
        <f>(A148-10)/10</f>
        <v>-0.9</v>
      </c>
      <c r="G148" s="113">
        <f>(B148-0.7238)/0.7238</f>
        <v>-0.83318383669241225</v>
      </c>
    </row>
    <row r="149" spans="1:7" x14ac:dyDescent="0.3">
      <c r="A149" s="112">
        <v>2</v>
      </c>
      <c r="B149" s="39">
        <v>0.22690455876348481</v>
      </c>
      <c r="C149" s="39">
        <v>0.14577597575274159</v>
      </c>
      <c r="D149" s="39">
        <v>0.31133790721188803</v>
      </c>
      <c r="E149" s="42">
        <v>1</v>
      </c>
      <c r="F149" s="142">
        <f>(A149-10)/10</f>
        <v>-0.8</v>
      </c>
      <c r="G149" s="114">
        <f t="shared" ref="G149:G170" si="10">(B149-0.7238)/0.7238</f>
        <v>-0.68650931367299695</v>
      </c>
    </row>
    <row r="150" spans="1:7" x14ac:dyDescent="0.3">
      <c r="A150" s="112">
        <v>3</v>
      </c>
      <c r="B150" s="39">
        <v>0.32024929213383668</v>
      </c>
      <c r="C150" s="39">
        <v>0.21048993293706031</v>
      </c>
      <c r="D150" s="39">
        <v>0.42850916890511104</v>
      </c>
      <c r="E150" s="42">
        <v>1</v>
      </c>
      <c r="F150" s="142">
        <f t="shared" ref="F150:F170" si="11">(A150-10)/10</f>
        <v>-0.7</v>
      </c>
      <c r="G150" s="114">
        <f t="shared" si="10"/>
        <v>-0.55754449829533481</v>
      </c>
    </row>
    <row r="151" spans="1:7" x14ac:dyDescent="0.3">
      <c r="A151" s="112">
        <v>4</v>
      </c>
      <c r="B151" s="39">
        <v>0.40232343873931786</v>
      </c>
      <c r="C151" s="39">
        <v>0.27030131639881927</v>
      </c>
      <c r="D151" s="39">
        <v>0.52574452195669785</v>
      </c>
      <c r="E151" s="42">
        <v>1</v>
      </c>
      <c r="F151" s="142">
        <f t="shared" si="11"/>
        <v>-0.6</v>
      </c>
      <c r="G151" s="114">
        <f t="shared" si="10"/>
        <v>-0.44415109320348456</v>
      </c>
    </row>
    <row r="152" spans="1:7" x14ac:dyDescent="0.3">
      <c r="A152" s="112">
        <v>5</v>
      </c>
      <c r="B152" s="39">
        <v>0.47448782657137489</v>
      </c>
      <c r="C152" s="39">
        <v>0.3255815333297728</v>
      </c>
      <c r="D152" s="39">
        <v>0.60643592824897641</v>
      </c>
      <c r="E152" s="42">
        <v>1</v>
      </c>
      <c r="F152" s="142">
        <f t="shared" si="11"/>
        <v>-0.5</v>
      </c>
      <c r="G152" s="114">
        <f t="shared" si="10"/>
        <v>-0.34444898235510513</v>
      </c>
    </row>
    <row r="153" spans="1:7" x14ac:dyDescent="0.3">
      <c r="A153" s="112">
        <v>6</v>
      </c>
      <c r="B153" s="39">
        <v>0.53793897515544986</v>
      </c>
      <c r="C153" s="39">
        <v>0.3766738540062724</v>
      </c>
      <c r="D153" s="39">
        <v>0.67339822997447307</v>
      </c>
      <c r="E153" s="42">
        <v>1</v>
      </c>
      <c r="F153" s="142">
        <f t="shared" si="11"/>
        <v>-0.4</v>
      </c>
      <c r="G153" s="114">
        <f t="shared" si="10"/>
        <v>-0.2567850578123102</v>
      </c>
    </row>
    <row r="154" spans="1:7" x14ac:dyDescent="0.3">
      <c r="A154" s="112">
        <v>7</v>
      </c>
      <c r="B154" s="39">
        <v>0.59372893440803698</v>
      </c>
      <c r="C154" s="39">
        <v>0.42389554337429303</v>
      </c>
      <c r="D154" s="39">
        <v>0.72896734270172936</v>
      </c>
      <c r="E154" s="42">
        <v>1</v>
      </c>
      <c r="F154" s="142">
        <f t="shared" si="11"/>
        <v>-0.3</v>
      </c>
      <c r="G154" s="114">
        <f t="shared" si="10"/>
        <v>-0.1797058104337704</v>
      </c>
    </row>
    <row r="155" spans="1:7" x14ac:dyDescent="0.3">
      <c r="A155" s="112">
        <v>8</v>
      </c>
      <c r="B155" s="39">
        <v>0.64278272811960613</v>
      </c>
      <c r="C155" s="39">
        <v>0.46753983115070397</v>
      </c>
      <c r="D155" s="39">
        <v>0.77508174154591902</v>
      </c>
      <c r="E155" s="42">
        <v>1</v>
      </c>
      <c r="F155" s="142">
        <f t="shared" si="11"/>
        <v>-0.2</v>
      </c>
      <c r="G155" s="114">
        <f t="shared" si="10"/>
        <v>-0.11193323000883375</v>
      </c>
    </row>
    <row r="156" spans="1:7" x14ac:dyDescent="0.3">
      <c r="A156" s="112">
        <v>9</v>
      </c>
      <c r="B156" s="39">
        <v>0.68591369128455204</v>
      </c>
      <c r="C156" s="39">
        <v>0.50787773267440839</v>
      </c>
      <c r="D156" s="39">
        <v>0.81335008301104983</v>
      </c>
      <c r="E156" s="42">
        <v>1</v>
      </c>
      <c r="F156" s="142">
        <f t="shared" si="11"/>
        <v>-0.1</v>
      </c>
      <c r="G156" s="114">
        <f t="shared" si="10"/>
        <v>-5.2343615246543185E-2</v>
      </c>
    </row>
    <row r="157" spans="1:7" x14ac:dyDescent="0.3">
      <c r="A157" s="112">
        <v>10</v>
      </c>
      <c r="B157" s="39">
        <v>0.72383695557832262</v>
      </c>
      <c r="C157" s="39">
        <v>0.54515973181417965</v>
      </c>
      <c r="D157" s="39">
        <v>0.84510732142675504</v>
      </c>
      <c r="E157" s="42">
        <v>1</v>
      </c>
      <c r="F157" s="142">
        <f t="shared" si="11"/>
        <v>0</v>
      </c>
      <c r="G157" s="114">
        <f t="shared" si="10"/>
        <v>5.1057720810468634E-5</v>
      </c>
    </row>
    <row r="158" spans="1:7" x14ac:dyDescent="0.3">
      <c r="A158" s="112">
        <v>11</v>
      </c>
      <c r="B158" s="39">
        <v>0.75718130657728255</v>
      </c>
      <c r="C158" s="39">
        <v>0.57961733638344803</v>
      </c>
      <c r="D158" s="39">
        <v>0.87146127754766223</v>
      </c>
      <c r="E158" s="42">
        <v>1</v>
      </c>
      <c r="F158" s="142">
        <f t="shared" si="11"/>
        <v>0.1</v>
      </c>
      <c r="G158" s="114">
        <f t="shared" si="10"/>
        <v>4.6119517238577719E-2</v>
      </c>
    </row>
    <row r="159" spans="1:7" x14ac:dyDescent="0.3">
      <c r="A159" s="112">
        <v>12</v>
      </c>
      <c r="B159" s="39">
        <v>0.78649960931960394</v>
      </c>
      <c r="C159" s="39">
        <v>0.61146451572060623</v>
      </c>
      <c r="D159" s="39">
        <v>0.89333128381619287</v>
      </c>
      <c r="E159" s="42">
        <v>1</v>
      </c>
      <c r="F159" s="142">
        <f t="shared" si="11"/>
        <v>0.2</v>
      </c>
      <c r="G159" s="114">
        <f t="shared" si="10"/>
        <v>8.66256000547167E-2</v>
      </c>
    </row>
    <row r="160" spans="1:7" x14ac:dyDescent="0.3">
      <c r="A160" s="112">
        <v>13</v>
      </c>
      <c r="B160" s="39">
        <v>0.81227797506789012</v>
      </c>
      <c r="C160" s="39">
        <v>0.64089902936168752</v>
      </c>
      <c r="D160" s="39">
        <v>0.9114802543916628</v>
      </c>
      <c r="E160" s="42">
        <v>1</v>
      </c>
      <c r="F160" s="142">
        <f t="shared" si="11"/>
        <v>0.3</v>
      </c>
      <c r="G160" s="114">
        <f t="shared" si="10"/>
        <v>0.12224091609269153</v>
      </c>
    </row>
    <row r="161" spans="1:7" x14ac:dyDescent="0.3">
      <c r="A161" s="112">
        <v>14</v>
      </c>
      <c r="B161" s="39">
        <v>0.83494382126277089</v>
      </c>
      <c r="C161" s="39">
        <v>0.66810365505599889</v>
      </c>
      <c r="D161" s="39">
        <v>0.92654129867783819</v>
      </c>
      <c r="E161" s="42">
        <v>1</v>
      </c>
      <c r="F161" s="142">
        <f t="shared" si="11"/>
        <v>0.4</v>
      </c>
      <c r="G161" s="114">
        <f t="shared" si="10"/>
        <v>0.15355598406019741</v>
      </c>
    </row>
    <row r="162" spans="1:7" x14ac:dyDescent="0.3">
      <c r="A162" s="112">
        <v>15</v>
      </c>
      <c r="B162" s="39">
        <v>0.85487295830529841</v>
      </c>
      <c r="C162" s="39">
        <v>0.69324732375024412</v>
      </c>
      <c r="D162" s="39">
        <v>0.93903980673629117</v>
      </c>
      <c r="E162" s="42">
        <v>2</v>
      </c>
      <c r="F162" s="142">
        <f t="shared" si="11"/>
        <v>0.5</v>
      </c>
      <c r="G162" s="114">
        <f t="shared" si="10"/>
        <v>0.18109002252735343</v>
      </c>
    </row>
    <row r="163" spans="1:7" x14ac:dyDescent="0.3">
      <c r="A163" s="112">
        <v>16</v>
      </c>
      <c r="B163" s="39">
        <v>0.87239582067032873</v>
      </c>
      <c r="C163" s="39">
        <v>0.71648616858897918</v>
      </c>
      <c r="D163" s="39">
        <v>0.94941177701398316</v>
      </c>
      <c r="E163" s="42">
        <v>2</v>
      </c>
      <c r="F163" s="142">
        <f t="shared" si="11"/>
        <v>0.6</v>
      </c>
      <c r="G163" s="114">
        <f t="shared" si="10"/>
        <v>0.20529955881504383</v>
      </c>
    </row>
    <row r="164" spans="1:7" x14ac:dyDescent="0.3">
      <c r="A164" s="112">
        <v>17</v>
      </c>
      <c r="B164" s="39">
        <v>0.88780294566568452</v>
      </c>
      <c r="C164" s="39">
        <v>0.7379644944453172</v>
      </c>
      <c r="D164" s="39">
        <v>0.95801902573024655</v>
      </c>
      <c r="E164" s="42">
        <v>2</v>
      </c>
      <c r="F164" s="142">
        <f t="shared" si="11"/>
        <v>0.7</v>
      </c>
      <c r="G164" s="114">
        <f t="shared" si="10"/>
        <v>0.226585998432833</v>
      </c>
    </row>
    <row r="165" spans="1:7" x14ac:dyDescent="0.3">
      <c r="A165" s="112">
        <v>18</v>
      </c>
      <c r="B165" s="39">
        <v>0.90134979067750431</v>
      </c>
      <c r="C165" s="39">
        <v>0.75781567400231897</v>
      </c>
      <c r="D165" s="39">
        <v>0.96516180848801802</v>
      </c>
      <c r="E165" s="42">
        <v>2</v>
      </c>
      <c r="F165" s="142">
        <f t="shared" si="11"/>
        <v>0.8</v>
      </c>
      <c r="G165" s="114">
        <f t="shared" si="10"/>
        <v>0.24530228057129638</v>
      </c>
    </row>
    <row r="166" spans="1:7" x14ac:dyDescent="0.3">
      <c r="A166" s="112">
        <v>19</v>
      </c>
      <c r="B166" s="39">
        <v>0.91326096877397511</v>
      </c>
      <c r="C166" s="39">
        <v>0.77616297594941397</v>
      </c>
      <c r="D166" s="39">
        <v>0.97108929440210767</v>
      </c>
      <c r="E166" s="42">
        <v>2</v>
      </c>
      <c r="F166" s="142">
        <f t="shared" si="11"/>
        <v>0.9</v>
      </c>
      <c r="G166" s="114">
        <f t="shared" si="10"/>
        <v>0.26175872999996563</v>
      </c>
    </row>
    <row r="167" spans="1:7" x14ac:dyDescent="0.3">
      <c r="A167" s="112">
        <v>20</v>
      </c>
      <c r="B167" s="39">
        <v>0.92373397289575065</v>
      </c>
      <c r="C167" s="39">
        <v>0.79312033043665098</v>
      </c>
      <c r="D167" s="39">
        <v>0.97600825812440539</v>
      </c>
      <c r="E167" s="42">
        <v>2</v>
      </c>
      <c r="F167" s="142">
        <f t="shared" si="11"/>
        <v>1</v>
      </c>
      <c r="G167" s="114">
        <f t="shared" si="10"/>
        <v>0.27622820239810814</v>
      </c>
    </row>
    <row r="168" spans="1:7" x14ac:dyDescent="0.3">
      <c r="A168" s="112">
        <v>21</v>
      </c>
      <c r="B168" s="39">
        <v>0.93294245038188839</v>
      </c>
      <c r="C168" s="39">
        <v>0.80879303653997803</v>
      </c>
      <c r="D168" s="39">
        <v>0.98009029297897454</v>
      </c>
      <c r="E168" s="42">
        <v>2</v>
      </c>
      <c r="F168" s="142">
        <f t="shared" si="11"/>
        <v>1.1000000000000001</v>
      </c>
      <c r="G168" s="114">
        <f t="shared" si="10"/>
        <v>0.28895060843035147</v>
      </c>
    </row>
    <row r="169" spans="1:7" x14ac:dyDescent="0.3">
      <c r="A169" s="112">
        <v>22</v>
      </c>
      <c r="B169" s="39">
        <v>0.94103908212448428</v>
      </c>
      <c r="C169" s="39">
        <v>0.823278416130653</v>
      </c>
      <c r="D169" s="39">
        <v>0.98347779683032088</v>
      </c>
      <c r="E169" s="42">
        <v>2</v>
      </c>
      <c r="F169" s="142">
        <f t="shared" si="11"/>
        <v>1.2</v>
      </c>
      <c r="G169" s="114">
        <f t="shared" si="10"/>
        <v>0.30013689157845302</v>
      </c>
    </row>
    <row r="170" spans="1:7" x14ac:dyDescent="0.3">
      <c r="A170" s="115">
        <v>23</v>
      </c>
      <c r="B170" s="116">
        <v>0.94815811408974648</v>
      </c>
      <c r="C170" s="116">
        <v>0.8366664182090815</v>
      </c>
      <c r="D170" s="116">
        <v>0.98628893949610241</v>
      </c>
      <c r="E170" s="117">
        <v>2</v>
      </c>
      <c r="F170" s="143">
        <f t="shared" si="11"/>
        <v>1.3</v>
      </c>
      <c r="G170" s="118">
        <f t="shared" si="10"/>
        <v>0.30997252568354033</v>
      </c>
    </row>
    <row r="171" spans="1:7" x14ac:dyDescent="0.3">
      <c r="A171" s="39"/>
      <c r="B171" s="39"/>
      <c r="C171" s="39"/>
      <c r="D171" s="39"/>
      <c r="E171" s="39"/>
      <c r="F171" s="144"/>
      <c r="G171" s="135"/>
    </row>
    <row r="172" spans="1:7" x14ac:dyDescent="0.3">
      <c r="A172" s="39"/>
      <c r="B172" s="39"/>
      <c r="C172" s="39"/>
      <c r="D172" s="39"/>
      <c r="E172" s="39"/>
      <c r="F172" s="144"/>
      <c r="G172" s="135"/>
    </row>
    <row r="173" spans="1:7" x14ac:dyDescent="0.3">
      <c r="A173" s="39"/>
      <c r="B173" s="39"/>
      <c r="C173" s="39"/>
      <c r="D173" s="39"/>
      <c r="E173" s="39"/>
      <c r="F173" s="144"/>
      <c r="G173" s="135"/>
    </row>
    <row r="174" spans="1:7" x14ac:dyDescent="0.3">
      <c r="A174" s="39"/>
      <c r="B174" s="39"/>
      <c r="C174" s="39"/>
      <c r="D174" s="39"/>
      <c r="E174" s="39"/>
      <c r="F174" s="144"/>
      <c r="G174" s="135"/>
    </row>
    <row r="175" spans="1:7" x14ac:dyDescent="0.3">
      <c r="A175" s="39"/>
      <c r="B175" s="39"/>
      <c r="C175" s="39"/>
      <c r="D175" s="39"/>
      <c r="E175" s="39"/>
      <c r="F175" s="144"/>
      <c r="G175" s="135"/>
    </row>
    <row r="176" spans="1:7" x14ac:dyDescent="0.3">
      <c r="A176" s="39"/>
      <c r="B176" s="39"/>
      <c r="C176" s="39"/>
      <c r="D176" s="39"/>
      <c r="E176" s="39"/>
      <c r="F176" s="144"/>
      <c r="G176" s="135"/>
    </row>
    <row r="177" spans="1:7" x14ac:dyDescent="0.3">
      <c r="A177" s="39"/>
      <c r="B177" s="39"/>
      <c r="C177" s="39"/>
      <c r="D177" s="39"/>
      <c r="E177" s="39"/>
      <c r="F177" s="144"/>
      <c r="G177" s="135"/>
    </row>
    <row r="178" spans="1:7" x14ac:dyDescent="0.3">
      <c r="A178" s="39"/>
      <c r="B178" s="39"/>
      <c r="C178" s="39"/>
      <c r="D178" s="39"/>
      <c r="E178" s="39"/>
      <c r="F178" s="144"/>
      <c r="G178" s="135"/>
    </row>
    <row r="179" spans="1:7" x14ac:dyDescent="0.3">
      <c r="A179" s="39"/>
      <c r="B179" s="39"/>
      <c r="C179" s="39"/>
      <c r="D179" s="39"/>
      <c r="E179" s="39"/>
      <c r="F179" s="144"/>
      <c r="G179" s="135"/>
    </row>
    <row r="180" spans="1:7" x14ac:dyDescent="0.3">
      <c r="A180" s="39"/>
      <c r="B180" s="39"/>
      <c r="C180" s="39"/>
      <c r="D180" s="39"/>
      <c r="E180" s="39"/>
      <c r="F180" s="144"/>
      <c r="G180" s="135"/>
    </row>
    <row r="181" spans="1:7" x14ac:dyDescent="0.3">
      <c r="A181" s="39"/>
      <c r="B181" s="39"/>
      <c r="C181" s="39"/>
      <c r="D181" s="39"/>
      <c r="E181" s="39"/>
      <c r="F181" s="144"/>
      <c r="G181" s="135"/>
    </row>
    <row r="182" spans="1:7" x14ac:dyDescent="0.3">
      <c r="A182" s="39"/>
      <c r="B182" s="39"/>
      <c r="C182" s="39"/>
      <c r="D182" s="39"/>
      <c r="E182" s="39"/>
      <c r="F182" s="144"/>
      <c r="G182" s="135"/>
    </row>
    <row r="184" spans="1:7" x14ac:dyDescent="0.3">
      <c r="A184" s="112"/>
      <c r="B184" s="39"/>
      <c r="C184" s="39"/>
      <c r="D184" s="39"/>
      <c r="E184" s="39"/>
      <c r="F184" s="135"/>
      <c r="G184" s="39"/>
    </row>
    <row r="185" spans="1:7" x14ac:dyDescent="0.3">
      <c r="A185" s="112"/>
      <c r="B185" s="39"/>
      <c r="C185" s="39"/>
      <c r="D185" s="39"/>
      <c r="E185" s="39"/>
      <c r="F185" s="135"/>
      <c r="G185" s="39"/>
    </row>
    <row r="186" spans="1:7" x14ac:dyDescent="0.3">
      <c r="A186" s="112"/>
      <c r="B186" s="39"/>
      <c r="C186" s="39"/>
      <c r="D186" s="39"/>
      <c r="E186" s="39"/>
      <c r="F186" s="135"/>
      <c r="G186" s="39"/>
    </row>
    <row r="187" spans="1:7" x14ac:dyDescent="0.3">
      <c r="A187" s="112"/>
      <c r="E187" s="39"/>
      <c r="F187" s="135"/>
    </row>
    <row r="188" spans="1:7" x14ac:dyDescent="0.3">
      <c r="A188" s="112"/>
      <c r="E188" s="39"/>
      <c r="F188" s="135"/>
    </row>
    <row r="189" spans="1:7" x14ac:dyDescent="0.3">
      <c r="A189" s="112"/>
      <c r="E189" s="39"/>
      <c r="F189" s="135"/>
    </row>
    <row r="190" spans="1:7" x14ac:dyDescent="0.3">
      <c r="A190" s="112"/>
      <c r="E190" s="39"/>
      <c r="F190" s="135"/>
    </row>
    <row r="191" spans="1:7" x14ac:dyDescent="0.3">
      <c r="A191" s="112"/>
      <c r="E191" s="39"/>
      <c r="F191" s="135"/>
    </row>
    <row r="192" spans="1:7" x14ac:dyDescent="0.3">
      <c r="A192" s="112"/>
      <c r="E192" s="39"/>
      <c r="F192" s="135"/>
    </row>
    <row r="193" spans="1:1" x14ac:dyDescent="0.3">
      <c r="A193" s="112"/>
    </row>
    <row r="194" spans="1:1" x14ac:dyDescent="0.3">
      <c r="A194" s="112"/>
    </row>
    <row r="195" spans="1:1" x14ac:dyDescent="0.3">
      <c r="A195" s="112"/>
    </row>
    <row r="196" spans="1:1" x14ac:dyDescent="0.3">
      <c r="A196" s="112"/>
    </row>
    <row r="197" spans="1:1" x14ac:dyDescent="0.3">
      <c r="A197" s="112"/>
    </row>
    <row r="198" spans="1:1" x14ac:dyDescent="0.3">
      <c r="A198" s="112"/>
    </row>
  </sheetData>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dimension ref="A1:A19"/>
  <sheetViews>
    <sheetView workbookViewId="0">
      <selection sqref="A1:P33"/>
    </sheetView>
  </sheetViews>
  <sheetFormatPr defaultColWidth="9.21875" defaultRowHeight="14.4" x14ac:dyDescent="0.3"/>
  <cols>
    <col min="1" max="1" width="142.21875" style="147" customWidth="1"/>
    <col min="2" max="16384" width="9.21875" style="146"/>
  </cols>
  <sheetData>
    <row r="1" spans="1:1" ht="21" x14ac:dyDescent="0.3">
      <c r="A1" s="145" t="s">
        <v>285</v>
      </c>
    </row>
    <row r="2" spans="1:1" ht="50.25" customHeight="1" x14ac:dyDescent="0.3">
      <c r="A2" s="147" t="s">
        <v>286</v>
      </c>
    </row>
    <row r="3" spans="1:1" ht="67.5" customHeight="1" x14ac:dyDescent="0.3">
      <c r="A3" s="147" t="s">
        <v>287</v>
      </c>
    </row>
    <row r="4" spans="1:1" ht="83.25" customHeight="1" x14ac:dyDescent="0.3">
      <c r="A4" s="147" t="s">
        <v>288</v>
      </c>
    </row>
    <row r="5" spans="1:1" ht="18.75" customHeight="1" x14ac:dyDescent="0.3">
      <c r="A5" s="147" t="s">
        <v>289</v>
      </c>
    </row>
    <row r="6" spans="1:1" ht="18" customHeight="1" x14ac:dyDescent="0.3">
      <c r="A6" s="147" t="s">
        <v>290</v>
      </c>
    </row>
    <row r="7" spans="1:1" ht="37.5" customHeight="1" x14ac:dyDescent="0.3">
      <c r="A7" s="147" t="s">
        <v>291</v>
      </c>
    </row>
    <row r="8" spans="1:1" ht="57.6" x14ac:dyDescent="0.3">
      <c r="A8" s="147" t="s">
        <v>292</v>
      </c>
    </row>
    <row r="9" spans="1:1" x14ac:dyDescent="0.3">
      <c r="A9" s="147" t="s">
        <v>293</v>
      </c>
    </row>
    <row r="10" spans="1:1" ht="8.25" customHeight="1" x14ac:dyDescent="0.3"/>
    <row r="11" spans="1:1" ht="81" customHeight="1" x14ac:dyDescent="0.3">
      <c r="A11" s="147" t="s">
        <v>294</v>
      </c>
    </row>
    <row r="12" spans="1:1" ht="57" customHeight="1" x14ac:dyDescent="0.3">
      <c r="A12" s="147" t="s">
        <v>295</v>
      </c>
    </row>
    <row r="13" spans="1:1" ht="43.2" x14ac:dyDescent="0.3">
      <c r="A13" s="147" t="s">
        <v>296</v>
      </c>
    </row>
    <row r="15" spans="1:1" ht="30.6" x14ac:dyDescent="0.3">
      <c r="A15" s="147" t="s">
        <v>297</v>
      </c>
    </row>
    <row r="17" spans="1:1" s="149" customFormat="1" ht="15.6" x14ac:dyDescent="0.3">
      <c r="A17" s="148" t="s">
        <v>298</v>
      </c>
    </row>
    <row r="18" spans="1:1" s="151" customFormat="1" ht="15.6" x14ac:dyDescent="0.3">
      <c r="A18" s="150" t="s">
        <v>299</v>
      </c>
    </row>
    <row r="19" spans="1:1" x14ac:dyDescent="0.3">
      <c r="A19" s="147" t="s">
        <v>300</v>
      </c>
    </row>
  </sheetData>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tabColor theme="9" tint="0.59999389629810485"/>
  </sheetPr>
  <dimension ref="A1:M33"/>
  <sheetViews>
    <sheetView zoomScaleNormal="100" workbookViewId="0">
      <selection sqref="A1:P33"/>
    </sheetView>
  </sheetViews>
  <sheetFormatPr defaultColWidth="9.21875" defaultRowHeight="13.8" x14ac:dyDescent="0.3"/>
  <cols>
    <col min="1" max="1" width="43.21875" style="277" customWidth="1"/>
    <col min="2" max="3" width="7.44140625" style="277" customWidth="1"/>
    <col min="4" max="4" width="8.77734375" style="277" customWidth="1"/>
    <col min="5" max="6" width="9.5546875" style="277" customWidth="1"/>
    <col min="7" max="7" width="12.77734375" style="277" customWidth="1"/>
    <col min="8" max="9" width="8" style="277" customWidth="1"/>
    <col min="10" max="10" width="13.44140625" style="277" customWidth="1"/>
    <col min="11" max="16384" width="9.21875" style="277"/>
  </cols>
  <sheetData>
    <row r="1" spans="1:13" x14ac:dyDescent="0.3">
      <c r="A1" s="1370" t="s">
        <v>301</v>
      </c>
      <c r="B1" s="1370"/>
      <c r="C1" s="1370"/>
      <c r="D1" s="1370"/>
      <c r="E1" s="1370"/>
      <c r="F1" s="1370"/>
      <c r="G1" s="1370"/>
      <c r="H1" s="1370"/>
      <c r="I1" s="1370"/>
      <c r="J1" s="1370"/>
      <c r="K1" s="880"/>
      <c r="L1" s="880"/>
      <c r="M1" s="880"/>
    </row>
    <row r="2" spans="1:13" ht="27.75" customHeight="1" thickBot="1" x14ac:dyDescent="0.35">
      <c r="A2" s="1371"/>
      <c r="B2" s="1371"/>
      <c r="C2" s="1371"/>
      <c r="D2" s="1371"/>
      <c r="E2" s="1371"/>
      <c r="F2" s="1371"/>
      <c r="G2" s="1371"/>
      <c r="H2" s="1371"/>
      <c r="I2" s="1371"/>
      <c r="J2" s="1371"/>
      <c r="K2" s="880"/>
      <c r="L2" s="880"/>
      <c r="M2" s="880"/>
    </row>
    <row r="3" spans="1:13" ht="16.8" thickTop="1" thickBot="1" x14ac:dyDescent="0.35">
      <c r="A3" s="980" t="s">
        <v>302</v>
      </c>
      <c r="B3" s="1372" t="s">
        <v>303</v>
      </c>
      <c r="C3" s="1373"/>
      <c r="D3" s="1374"/>
      <c r="E3" s="1375" t="s">
        <v>304</v>
      </c>
      <c r="F3" s="1376"/>
      <c r="G3" s="1376"/>
      <c r="H3" s="1376"/>
      <c r="I3" s="1376"/>
      <c r="J3" s="1377"/>
      <c r="K3" s="880"/>
      <c r="L3" s="880"/>
      <c r="M3" s="880"/>
    </row>
    <row r="4" spans="1:13" ht="14.4" thickBot="1" x14ac:dyDescent="0.35">
      <c r="A4" s="352" t="s">
        <v>305</v>
      </c>
      <c r="B4" s="1378" t="s">
        <v>94</v>
      </c>
      <c r="C4" s="1379"/>
      <c r="D4" s="353"/>
      <c r="E4" s="1380" t="s">
        <v>306</v>
      </c>
      <c r="F4" s="1381"/>
      <c r="G4" s="1381"/>
      <c r="H4" s="1381"/>
      <c r="I4" s="1381"/>
      <c r="J4" s="1382"/>
      <c r="K4" s="880"/>
      <c r="L4" s="880"/>
      <c r="M4" s="880"/>
    </row>
    <row r="5" spans="1:13" ht="14.4" thickBot="1" x14ac:dyDescent="0.35">
      <c r="A5" s="354" t="s">
        <v>307</v>
      </c>
      <c r="B5" s="1365">
        <v>2</v>
      </c>
      <c r="C5" s="1366"/>
      <c r="D5" s="355"/>
      <c r="E5" s="1367" t="s">
        <v>308</v>
      </c>
      <c r="F5" s="1368"/>
      <c r="G5" s="1368"/>
      <c r="H5" s="1368"/>
      <c r="I5" s="1368"/>
      <c r="J5" s="1369"/>
      <c r="K5" s="880"/>
      <c r="L5" s="880"/>
      <c r="M5" s="880"/>
    </row>
    <row r="6" spans="1:13" x14ac:dyDescent="0.3">
      <c r="A6" s="356" t="s">
        <v>309</v>
      </c>
      <c r="B6" s="1328" t="s">
        <v>310</v>
      </c>
      <c r="C6" s="1329"/>
      <c r="D6" s="355"/>
      <c r="E6" s="1349" t="s">
        <v>311</v>
      </c>
      <c r="F6" s="1350"/>
      <c r="G6" s="977" t="s">
        <v>276</v>
      </c>
      <c r="H6" s="977" t="s">
        <v>277</v>
      </c>
      <c r="I6" s="977" t="s">
        <v>278</v>
      </c>
      <c r="J6" s="357" t="s">
        <v>312</v>
      </c>
      <c r="K6" s="880"/>
      <c r="L6" s="880"/>
      <c r="M6" s="880"/>
    </row>
    <row r="7" spans="1:13" x14ac:dyDescent="0.3">
      <c r="A7" s="358" t="s">
        <v>268</v>
      </c>
      <c r="B7" s="1343">
        <v>0.78</v>
      </c>
      <c r="C7" s="1344"/>
      <c r="D7" s="359" t="s">
        <v>313</v>
      </c>
      <c r="E7" s="1347" t="s">
        <v>310</v>
      </c>
      <c r="F7" s="1348"/>
      <c r="G7" s="360" t="str">
        <f>IF(AND($B$4="Summer",$B$5=1,$B$6="No"),(1-(1-((1-(EXP((-(ROUNDUP(($B$16/$B$20),0)/(839/((($B$11^2)*PI()/1000000)-$B$12)))))))))^(ROUNDUP(B10/30,0))),"")</f>
        <v/>
      </c>
      <c r="H7" s="360" t="str">
        <f>IF(AND($B$4="Summer",$B$5=1,$B$6="No"),(1-(1-((1-(EXP((-(ROUNDUP(($C$16/$B$20),0)/(839/((($B$11^2)*PI()/1000000)-$B$12)))))))))^(ROUNDUP(B10/30,0))),"")</f>
        <v/>
      </c>
      <c r="I7" s="360" t="str">
        <f>IF(AND($B$4="Summer",$B$5=1,$B$6="No"),(1-(1-((1-(EXP((-(ROUNDUP(($D$16/$B$20),0)/(839/((($B$11^2)*PI()/1000000)-$B$12)))))))))^(ROUNDUP(B10/30,0))),"")</f>
        <v/>
      </c>
      <c r="J7" s="1351">
        <v>1</v>
      </c>
      <c r="K7" s="1353" t="s">
        <v>314</v>
      </c>
      <c r="L7" s="1354"/>
      <c r="M7" s="1354"/>
    </row>
    <row r="8" spans="1:13" x14ac:dyDescent="0.3">
      <c r="A8" s="362"/>
      <c r="B8" s="1355"/>
      <c r="C8" s="1356"/>
      <c r="D8" s="355"/>
      <c r="E8" s="1357" t="s">
        <v>315</v>
      </c>
      <c r="F8" s="1358"/>
      <c r="G8" s="363" t="str">
        <f>IF(AND($B$4="Summer",$B$5=1,$B$6="Yes"),(1-(1-((1-(EXP((-0.22*(ROUNDUP(($B$16/$B$20),0)/(839/((($B$11^2)*PI()/1000000)-$B$12)))))))))^(ROUNDUP(B10/30,0))),"")</f>
        <v/>
      </c>
      <c r="H8" s="363" t="str">
        <f>IF(AND($B$4="Summer",$B$5=1,$B$6="Yes"),(1-(1-((1-(EXP((-0.22*(ROUNDUP(($C$16/$B$20),0)/(839/((($B$11^2)*PI()/1000000)-$B$12)))))))))^(ROUNDUP(B10/30,0))),"")</f>
        <v/>
      </c>
      <c r="I8" s="363" t="str">
        <f>IF(AND($B$4="Summer",$B$5=1,$B$6="Yes"),(1-(1-((1-(EXP((-0.22*(ROUNDUP(($D$16/$B$20),0)/(839/((($B$11^2)*PI()/1000000)-$B$12)))))))))^(ROUNDUP(B10/30,0))),"")</f>
        <v/>
      </c>
      <c r="J8" s="1352"/>
      <c r="K8" s="1353"/>
      <c r="L8" s="1354"/>
      <c r="M8" s="1354"/>
    </row>
    <row r="9" spans="1:13" x14ac:dyDescent="0.3">
      <c r="A9" s="364" t="s">
        <v>316</v>
      </c>
      <c r="B9" s="1359"/>
      <c r="C9" s="1360"/>
      <c r="D9" s="365" t="s">
        <v>67</v>
      </c>
      <c r="E9" s="1347" t="s">
        <v>310</v>
      </c>
      <c r="F9" s="1348"/>
      <c r="G9" s="366">
        <f>IF(AND($B$4="Summer",$B$5=2,$B$6="No"),(1-(1-((1-(EXP((-(ROUNDUP(($B$17/$B$20),0)/(1197/((($B$11^2)*PI()/1000000)-$B$12)))))))))^(ROUNDUP(B10/30,0))),"")</f>
        <v>0.17078844193247622</v>
      </c>
      <c r="H9" s="366">
        <f>IF(AND($B$4="Summer",$B$5=2,$B$6="No"),(1-(1-((1-(EXP((-(ROUNDUP(($C$17/$B$20),0)/(1197/((($B$11^2)*PI()/1000000)-$B$12)))))))))^(ROUNDUP(B10/30,0))),"")</f>
        <v>0.11075730877023626</v>
      </c>
      <c r="I9" s="366">
        <f>IF(AND($B$4="Summer",$B$5=2,$B$6="No"),(1-(1-((1-(EXP((-(ROUNDUP(($D$17/$B$20),0)/(1197/((($B$11^2)*PI()/1000000)-$B$12)))))))))^(ROUNDUP(B10/30,0))),"")</f>
        <v>0.23193205541184048</v>
      </c>
      <c r="J9" s="1361">
        <v>2</v>
      </c>
      <c r="K9" s="1353"/>
      <c r="L9" s="1354"/>
      <c r="M9" s="1354"/>
    </row>
    <row r="10" spans="1:13" x14ac:dyDescent="0.3">
      <c r="A10" s="367" t="s">
        <v>317</v>
      </c>
      <c r="B10" s="1363">
        <v>60</v>
      </c>
      <c r="C10" s="1364"/>
      <c r="D10" s="355" t="s">
        <v>318</v>
      </c>
      <c r="E10" s="1357" t="s">
        <v>315</v>
      </c>
      <c r="F10" s="1358"/>
      <c r="G10" s="368" t="str">
        <f>IF(AND($B$4="Summer",$B$5=2,$B$6="Yes"),(1-(1-((1-(EXP((-0.22*(ROUNDUP(($B$17/$B$20),0)/(1197/((($B$11^2)*PI()/1000000)-$B$12)))))))))^(ROUNDUP(B10/30,0))),"")</f>
        <v/>
      </c>
      <c r="H10" s="368" t="str">
        <f>IF(AND($B$4="Summer",$B$5=2,$B$6="Yes"),(1-(1-((1-(EXP((-0.22*(ROUNDUP(($C$17/$B$20),0)/(1197/((($B$11^2)*PI()/1000000)-$B$12)))))))))^(ROUNDUP(B10/30,0))),"")</f>
        <v/>
      </c>
      <c r="I10" s="368" t="str">
        <f>IF(AND($B$4="Summer",$B$5=2,$B$6="Yes"),(1-(1-((1-(EXP((-0.22*(ROUNDUP(($D$17/$B$20),0)/(1197/((($B$11^2)*PI()/1000000)-$B$12)))))))))^(ROUNDUP(B10/30,0))),"")</f>
        <v/>
      </c>
      <c r="J10" s="1362"/>
      <c r="K10" s="880"/>
      <c r="L10" s="880"/>
      <c r="M10" s="880"/>
    </row>
    <row r="11" spans="1:13" x14ac:dyDescent="0.3">
      <c r="A11" s="369" t="s">
        <v>319</v>
      </c>
      <c r="B11" s="1328">
        <v>191</v>
      </c>
      <c r="C11" s="1329"/>
      <c r="D11" s="355" t="s">
        <v>67</v>
      </c>
      <c r="E11" s="1330" t="s">
        <v>310</v>
      </c>
      <c r="F11" s="1331"/>
      <c r="G11" s="370" t="str">
        <f>IF(AND($B$4="Summer",$B$5=3,$B$6="No"),(1-(1-((1-(EXP((-(ROUNDUP(($B$18/$B$20),0)/(1458/((($B$11^2)*PI()/1000000)-$B$12)))))))))^(ROUNDUP(B10/30,0))),"")</f>
        <v/>
      </c>
      <c r="H11" s="370" t="str">
        <f>IF(AND($B$4="Summer",$B$5=3,$B$6="No"),(1-(1-((1-(EXP((-(ROUNDUP(($C$18/$B$20),0)/(1458/((($B$11^2)*PI()/1000000)-$B$12)))))))))^(ROUNDUP(B10/30,0))),"")</f>
        <v/>
      </c>
      <c r="I11" s="370" t="str">
        <f>IF(AND($B$4="Summer",$B$5=3,$B$6="No"),(1-(1-((1-(EXP((-(ROUNDUP(($D$18/$B$20),0)/(1458/((($B$11^2)*PI()/1000000)-$B$12)))))))))^(ROUNDUP(B10/30,0))),"")</f>
        <v/>
      </c>
      <c r="J11" s="1332">
        <v>3</v>
      </c>
      <c r="K11" s="880"/>
      <c r="L11" s="880"/>
      <c r="M11" s="880"/>
    </row>
    <row r="12" spans="1:13" ht="17.399999999999999" thickBot="1" x14ac:dyDescent="0.35">
      <c r="A12" s="371" t="s">
        <v>320</v>
      </c>
      <c r="B12" s="1334">
        <v>0</v>
      </c>
      <c r="C12" s="1335"/>
      <c r="D12" s="372" t="s">
        <v>321</v>
      </c>
      <c r="E12" s="1336" t="s">
        <v>315</v>
      </c>
      <c r="F12" s="1337"/>
      <c r="G12" s="373" t="str">
        <f>IF(AND($B$4="Summer",$B$5=3,$B$6="Yes"),(1-(1-((1-(EXP((-0.22*(ROUNDUP(($B$18/$B$20),0)/(1458/((($B$11^2)*PI()/1000000)-$B$12)))))))))^(ROUNDUP(B10/30,0))),"")</f>
        <v/>
      </c>
      <c r="H12" s="373" t="str">
        <f>IF(AND($B$4="Summer",$B$5=3,$B$6="Yes"),(1-(1-((1-(EXP((-0.22*(ROUNDUP(($C$18/$B$20),0)/(1458/((($B$11^2)*PI()/1000000)-$B$12)))))))))^(ROUNDUP(B10/30,0))),"")</f>
        <v/>
      </c>
      <c r="I12" s="373" t="str">
        <f>IF(AND($B$4="Summer",$B$5=3,$B$6="Yes"),(1-(1-((1-(EXP((-0.22*(ROUNDUP(($D$18/$B$20),0)/(1458/((($B$11^2)*PI()/1000000)-$B$12)))))))))^(ROUNDUP(B10/30,0))),"")</f>
        <v/>
      </c>
      <c r="J12" s="1333"/>
      <c r="K12" s="880"/>
      <c r="L12" s="880"/>
      <c r="M12" s="880"/>
    </row>
    <row r="13" spans="1:13" ht="17.399999999999999" thickBot="1" x14ac:dyDescent="0.35">
      <c r="A13" s="374" t="s">
        <v>322</v>
      </c>
      <c r="B13" s="1338"/>
      <c r="C13" s="1339"/>
      <c r="D13" s="375" t="s">
        <v>323</v>
      </c>
      <c r="E13" s="1340" t="s">
        <v>324</v>
      </c>
      <c r="F13" s="1341"/>
      <c r="G13" s="1341"/>
      <c r="H13" s="1341"/>
      <c r="I13" s="1341"/>
      <c r="J13" s="1342"/>
      <c r="K13" s="880"/>
      <c r="L13" s="880"/>
      <c r="M13" s="880"/>
    </row>
    <row r="14" spans="1:13" x14ac:dyDescent="0.3">
      <c r="A14" s="376" t="s">
        <v>325</v>
      </c>
      <c r="B14" s="1343">
        <v>100</v>
      </c>
      <c r="C14" s="1344"/>
      <c r="D14" s="377" t="s">
        <v>313</v>
      </c>
      <c r="E14" s="1345" t="s">
        <v>311</v>
      </c>
      <c r="F14" s="1346"/>
      <c r="G14" s="976" t="s">
        <v>276</v>
      </c>
      <c r="H14" s="976" t="s">
        <v>277</v>
      </c>
      <c r="I14" s="976" t="s">
        <v>278</v>
      </c>
      <c r="J14" s="378" t="s">
        <v>312</v>
      </c>
      <c r="K14" s="880"/>
      <c r="L14" s="880"/>
      <c r="M14" s="880"/>
    </row>
    <row r="15" spans="1:13" ht="14.4" thickBot="1" x14ac:dyDescent="0.35">
      <c r="A15" s="379" t="s">
        <v>326</v>
      </c>
      <c r="B15" s="380" t="s">
        <v>276</v>
      </c>
      <c r="C15" s="380" t="s">
        <v>327</v>
      </c>
      <c r="D15" s="381" t="s">
        <v>328</v>
      </c>
      <c r="E15" s="1347" t="s">
        <v>310</v>
      </c>
      <c r="F15" s="1348"/>
      <c r="G15" s="394" t="str">
        <f>IF(AND($B$4="Winter",$B$6="No"),(1-(1-((1-(EXP((-(ROUNDUP(($B$26/$B$27),0)/(3494/((($B$11^2)*PI()/1000000)-$B$12)))))))))^(ROUNDUP(#REF!/30,0))),"")</f>
        <v/>
      </c>
      <c r="H15" s="394" t="str">
        <f>IF(AND($B$4="Winter",$B$6="No"),(1-(1-((1-(EXP((-(ROUNDUP(($C$26/$B$27),0)/(3494/((($B$11^2)*PI()/1000000)-$B$12)))))))))^(ROUNDUP(#REF!/30,0))),"")</f>
        <v/>
      </c>
      <c r="I15" s="394" t="str">
        <f>IF(AND($B$4="Winter",$B$6="No"),(1-(1-((1-(EXP((-(ROUNDUP(($D$26/$B$27),0)/(3494/((($B$11^2)*PI()/1000000)-$B$12)))))))))^(ROUNDUP(#REF!/30,0))),"")</f>
        <v/>
      </c>
      <c r="J15" s="978" t="s">
        <v>329</v>
      </c>
      <c r="K15" s="880"/>
      <c r="L15" s="880"/>
      <c r="M15" s="880"/>
    </row>
    <row r="16" spans="1:13" ht="14.4" thickBot="1" x14ac:dyDescent="0.35">
      <c r="A16" s="383" t="s">
        <v>330</v>
      </c>
      <c r="B16" s="384">
        <f>B19*0.53</f>
        <v>3447.1200000000003</v>
      </c>
      <c r="C16" s="384">
        <f>C19*0.53</f>
        <v>2160.2800000000002</v>
      </c>
      <c r="D16" s="384">
        <f>D19*0.53</f>
        <v>4859.5700000000006</v>
      </c>
      <c r="E16" s="1326" t="s">
        <v>315</v>
      </c>
      <c r="F16" s="1327"/>
      <c r="G16" s="644" t="str">
        <f>IF(AND($B$4="Winter",$B$6="Yes"),(1-(1-((1-(EXP((-0.22*(ROUNDUP(($B$26/$B$27),0)/(3494/((($B$11^2)*PI()/1000000)-$B$12)))))))))^(ROUNDUP(#REF!/30,0))),"")</f>
        <v/>
      </c>
      <c r="H16" s="644" t="str">
        <f>IF(AND($B$4="Winter",$B$6="Yes"),(1-(1-((1-(EXP((-0.22*(ROUNDUP(($C$26/$B$27),0)/(3494/((($B$11^2)*PI()/1000000)-$B$12)))))))))^(ROUNDUP(#REF!/30,0))),"")</f>
        <v/>
      </c>
      <c r="I16" s="644" t="str">
        <f>IF(AND($B$4="Winter",$B$6="Yes"),(1-(1-((1-(EXP((-0.22*(ROUNDUP(($D$26/$B$27),0)/(3494/((($B$11^2)*PI()/1000000)-$B$12)))))))))^(ROUNDUP(#REF!/30,0))),"")</f>
        <v/>
      </c>
      <c r="J16" s="645" t="s">
        <v>329</v>
      </c>
      <c r="K16" s="880"/>
      <c r="L16" s="880"/>
      <c r="M16" s="880"/>
    </row>
    <row r="17" spans="1:13" x14ac:dyDescent="0.3">
      <c r="A17" s="358" t="s">
        <v>331</v>
      </c>
      <c r="B17" s="384">
        <f>B19*0.26</f>
        <v>1691.04</v>
      </c>
      <c r="C17" s="384">
        <f>C19*0.26</f>
        <v>1059.76</v>
      </c>
      <c r="D17" s="384">
        <f>D19*0.26</f>
        <v>2383.94</v>
      </c>
      <c r="E17" s="1297" t="s">
        <v>332</v>
      </c>
      <c r="F17" s="1298"/>
      <c r="G17" s="1298"/>
      <c r="H17" s="1298"/>
      <c r="I17" s="1298"/>
      <c r="J17" s="1298"/>
      <c r="K17" s="880"/>
      <c r="L17" s="880"/>
      <c r="M17" s="880"/>
    </row>
    <row r="18" spans="1:13" ht="15" customHeight="1" x14ac:dyDescent="0.3">
      <c r="A18" s="358" t="s">
        <v>333</v>
      </c>
      <c r="B18" s="384">
        <f>B19*0.22</f>
        <v>1430.88</v>
      </c>
      <c r="C18" s="384">
        <f>C19*0.22</f>
        <v>896.72</v>
      </c>
      <c r="D18" s="384">
        <f>D19*0.22</f>
        <v>2017.18</v>
      </c>
      <c r="E18" s="1316"/>
      <c r="F18" s="1317"/>
      <c r="G18" s="648"/>
      <c r="H18" s="648"/>
      <c r="I18" s="648"/>
      <c r="J18" s="649"/>
      <c r="K18" s="880"/>
      <c r="L18" s="880"/>
      <c r="M18" s="880"/>
    </row>
    <row r="19" spans="1:13" ht="26.25" customHeight="1" x14ac:dyDescent="0.3">
      <c r="A19" s="386" t="s">
        <v>334</v>
      </c>
      <c r="B19" s="387">
        <v>6504</v>
      </c>
      <c r="C19" s="387">
        <v>4076</v>
      </c>
      <c r="D19" s="388">
        <v>9169</v>
      </c>
      <c r="E19" s="974"/>
      <c r="F19" s="975"/>
      <c r="G19" s="648"/>
      <c r="H19" s="648"/>
      <c r="I19" s="648"/>
      <c r="J19" s="650"/>
      <c r="K19" s="880"/>
      <c r="L19" s="880"/>
      <c r="M19" s="880"/>
    </row>
    <row r="20" spans="1:13" x14ac:dyDescent="0.3">
      <c r="A20" s="389" t="s">
        <v>335</v>
      </c>
      <c r="B20" s="1318">
        <v>1.73</v>
      </c>
      <c r="C20" s="1318"/>
      <c r="D20" s="1319"/>
      <c r="E20" s="974"/>
      <c r="F20" s="975"/>
      <c r="G20" s="648"/>
      <c r="H20" s="648"/>
      <c r="I20" s="648"/>
      <c r="J20" s="650"/>
      <c r="K20" s="880"/>
      <c r="L20" s="880"/>
      <c r="M20" s="880"/>
    </row>
    <row r="21" spans="1:13" ht="15" customHeight="1" x14ac:dyDescent="0.3">
      <c r="A21" s="1320" t="s">
        <v>336</v>
      </c>
      <c r="B21" s="1321"/>
      <c r="C21" s="1321"/>
      <c r="D21" s="1322"/>
      <c r="E21" s="651"/>
      <c r="F21" s="652"/>
      <c r="G21" s="652"/>
      <c r="H21" s="652"/>
      <c r="I21" s="652"/>
      <c r="J21" s="652"/>
      <c r="K21" s="880"/>
      <c r="L21" s="880"/>
      <c r="M21" s="880"/>
    </row>
    <row r="22" spans="1:13" x14ac:dyDescent="0.3">
      <c r="A22" s="1320"/>
      <c r="B22" s="1321"/>
      <c r="C22" s="1321"/>
      <c r="D22" s="1322"/>
      <c r="E22" s="651"/>
      <c r="F22" s="652"/>
      <c r="G22" s="652"/>
      <c r="H22" s="652"/>
      <c r="I22" s="652"/>
      <c r="J22" s="652"/>
      <c r="K22" s="880"/>
      <c r="L22" s="880"/>
      <c r="M22" s="880"/>
    </row>
    <row r="23" spans="1:13" x14ac:dyDescent="0.3">
      <c r="A23" s="1320"/>
      <c r="B23" s="1321"/>
      <c r="C23" s="1321"/>
      <c r="D23" s="1322"/>
      <c r="E23" s="653"/>
      <c r="F23" s="654"/>
      <c r="G23" s="654"/>
      <c r="H23" s="654"/>
      <c r="I23" s="654"/>
      <c r="J23" s="654"/>
      <c r="K23" s="880"/>
      <c r="L23" s="880"/>
      <c r="M23" s="880"/>
    </row>
    <row r="24" spans="1:13" x14ac:dyDescent="0.3">
      <c r="A24" s="1323"/>
      <c r="B24" s="1324"/>
      <c r="C24" s="1324"/>
      <c r="D24" s="1325"/>
      <c r="E24" s="651"/>
      <c r="F24" s="652"/>
      <c r="G24" s="652"/>
      <c r="H24" s="652"/>
      <c r="I24" s="652"/>
      <c r="J24" s="655"/>
      <c r="K24" s="880"/>
      <c r="L24" s="880"/>
      <c r="M24" s="880"/>
    </row>
    <row r="25" spans="1:13" ht="15.75" customHeight="1" thickBot="1" x14ac:dyDescent="0.35">
      <c r="A25" s="391" t="s">
        <v>337</v>
      </c>
      <c r="B25" s="392" t="s">
        <v>276</v>
      </c>
      <c r="C25" s="392" t="s">
        <v>327</v>
      </c>
      <c r="D25" s="393" t="s">
        <v>328</v>
      </c>
      <c r="E25" s="656"/>
      <c r="F25" s="657"/>
      <c r="G25" s="658"/>
      <c r="H25" s="658"/>
      <c r="I25" s="658"/>
      <c r="J25" s="655"/>
      <c r="K25" s="966"/>
      <c r="L25" s="979"/>
      <c r="M25" s="979"/>
    </row>
    <row r="26" spans="1:13" x14ac:dyDescent="0.3">
      <c r="A26" s="383" t="s">
        <v>338</v>
      </c>
      <c r="B26" s="395">
        <f>ROUNDUP($B$19*$B$28,0)</f>
        <v>11968</v>
      </c>
      <c r="C26" s="395">
        <f>ROUNDUP($C$19*$B$28,0)</f>
        <v>7500</v>
      </c>
      <c r="D26" s="396">
        <f>ROUNDUP($D$19*$B$28,0)</f>
        <v>16871</v>
      </c>
      <c r="E26" s="656"/>
      <c r="F26" s="657"/>
      <c r="G26" s="658"/>
      <c r="H26" s="658"/>
      <c r="I26" s="658"/>
      <c r="J26" s="659"/>
      <c r="K26" s="966"/>
      <c r="L26" s="979"/>
      <c r="M26" s="979"/>
    </row>
    <row r="27" spans="1:13" x14ac:dyDescent="0.3">
      <c r="A27" s="399" t="s">
        <v>335</v>
      </c>
      <c r="B27" s="1314">
        <v>1.73</v>
      </c>
      <c r="C27" s="1314"/>
      <c r="D27" s="1315"/>
      <c r="E27" s="653"/>
      <c r="F27" s="654"/>
      <c r="G27" s="654"/>
      <c r="H27" s="654"/>
      <c r="I27" s="654"/>
      <c r="J27" s="654"/>
      <c r="K27" s="966"/>
      <c r="L27" s="979"/>
      <c r="M27" s="979"/>
    </row>
    <row r="28" spans="1:13" x14ac:dyDescent="0.3">
      <c r="A28" s="389" t="s">
        <v>339</v>
      </c>
      <c r="B28" s="1304">
        <v>1.84</v>
      </c>
      <c r="C28" s="1304"/>
      <c r="D28" s="1305"/>
      <c r="E28" s="660"/>
      <c r="F28" s="661"/>
      <c r="G28" s="661"/>
      <c r="H28" s="661"/>
      <c r="I28" s="661"/>
      <c r="J28" s="661"/>
      <c r="K28" s="880"/>
      <c r="L28" s="880"/>
      <c r="M28" s="880"/>
    </row>
    <row r="29" spans="1:13" x14ac:dyDescent="0.3">
      <c r="A29" s="1306" t="s">
        <v>340</v>
      </c>
      <c r="B29" s="1307"/>
      <c r="C29" s="1307"/>
      <c r="D29" s="1308"/>
      <c r="E29" s="974"/>
      <c r="F29" s="975"/>
      <c r="G29" s="662"/>
      <c r="H29" s="661"/>
      <c r="I29" s="661"/>
      <c r="J29" s="661"/>
      <c r="K29" s="880"/>
      <c r="L29" s="880"/>
      <c r="M29" s="880"/>
    </row>
    <row r="30" spans="1:13" ht="14.4" thickBot="1" x14ac:dyDescent="0.35">
      <c r="A30" s="1309"/>
      <c r="B30" s="1310"/>
      <c r="C30" s="1310"/>
      <c r="D30" s="1311"/>
      <c r="E30" s="974"/>
      <c r="F30" s="975"/>
      <c r="G30" s="662"/>
      <c r="H30" s="661"/>
      <c r="I30" s="661"/>
      <c r="J30" s="661"/>
      <c r="K30" s="880"/>
      <c r="L30" s="880"/>
      <c r="M30" s="880"/>
    </row>
    <row r="31" spans="1:13" ht="14.4" thickTop="1" x14ac:dyDescent="0.3">
      <c r="A31" s="1312" t="s">
        <v>341</v>
      </c>
      <c r="B31" s="1312"/>
      <c r="C31" s="1312"/>
      <c r="D31" s="1312"/>
      <c r="E31" s="1313"/>
      <c r="F31" s="1313"/>
      <c r="G31" s="1313"/>
      <c r="H31" s="1313"/>
      <c r="I31" s="1313"/>
      <c r="J31" s="1299"/>
      <c r="K31" s="880"/>
      <c r="L31" s="880"/>
      <c r="M31" s="880"/>
    </row>
    <row r="32" spans="1:13" ht="31.5" customHeight="1" x14ac:dyDescent="0.3">
      <c r="A32" s="1300" t="s">
        <v>342</v>
      </c>
      <c r="B32" s="1300"/>
      <c r="C32" s="1300"/>
      <c r="D32" s="1300"/>
      <c r="E32" s="1300"/>
      <c r="F32" s="1300"/>
      <c r="G32" s="1301" t="s">
        <v>343</v>
      </c>
      <c r="H32" s="1302"/>
      <c r="I32" s="1302"/>
      <c r="J32" s="1299"/>
      <c r="K32" s="880"/>
      <c r="L32" s="880"/>
      <c r="M32" s="880"/>
    </row>
    <row r="33" spans="1:10" x14ac:dyDescent="0.3">
      <c r="A33" s="1300"/>
      <c r="B33" s="1300"/>
      <c r="C33" s="1300"/>
      <c r="D33" s="1300"/>
      <c r="E33" s="1300"/>
      <c r="F33" s="1300"/>
      <c r="G33" s="1303" t="s">
        <v>344</v>
      </c>
      <c r="H33" s="1303"/>
      <c r="I33" s="1303"/>
      <c r="J33" s="1299"/>
    </row>
  </sheetData>
  <mergeCells count="43">
    <mergeCell ref="B5:C5"/>
    <mergeCell ref="E5:J5"/>
    <mergeCell ref="A1:J2"/>
    <mergeCell ref="B3:D3"/>
    <mergeCell ref="E3:J3"/>
    <mergeCell ref="B4:C4"/>
    <mergeCell ref="E4:J4"/>
    <mergeCell ref="K7:M9"/>
    <mergeCell ref="B8:C8"/>
    <mergeCell ref="E8:F8"/>
    <mergeCell ref="B9:C9"/>
    <mergeCell ref="E9:F9"/>
    <mergeCell ref="J9:J10"/>
    <mergeCell ref="B10:C10"/>
    <mergeCell ref="E10:F10"/>
    <mergeCell ref="B6:C6"/>
    <mergeCell ref="E6:F6"/>
    <mergeCell ref="B7:C7"/>
    <mergeCell ref="E7:F7"/>
    <mergeCell ref="J7:J8"/>
    <mergeCell ref="E16:F16"/>
    <mergeCell ref="B11:C11"/>
    <mergeCell ref="E11:F11"/>
    <mergeCell ref="J11:J12"/>
    <mergeCell ref="B12:C12"/>
    <mergeCell ref="E12:F12"/>
    <mergeCell ref="B13:C13"/>
    <mergeCell ref="E13:J13"/>
    <mergeCell ref="B14:C14"/>
    <mergeCell ref="E14:F14"/>
    <mergeCell ref="E15:F15"/>
    <mergeCell ref="E17:J17"/>
    <mergeCell ref="J31:J33"/>
    <mergeCell ref="A32:F33"/>
    <mergeCell ref="G32:I32"/>
    <mergeCell ref="G33:I33"/>
    <mergeCell ref="B28:D28"/>
    <mergeCell ref="A29:D30"/>
    <mergeCell ref="A31:I31"/>
    <mergeCell ref="B27:D27"/>
    <mergeCell ref="E18:F18"/>
    <mergeCell ref="B20:D20"/>
    <mergeCell ref="A21:D24"/>
  </mergeCells>
  <dataValidations count="3">
    <dataValidation type="list" allowBlank="1" showInputMessage="1" showErrorMessage="1" sqref="B4:C4" xr:uid="{00000000-0002-0000-0700-000000000000}">
      <formula1>"Summer,Winter"</formula1>
    </dataValidation>
    <dataValidation type="list" allowBlank="1" showInputMessage="1" showErrorMessage="1" sqref="B6:C6" xr:uid="{00000000-0002-0000-0700-000001000000}">
      <formula1>"Yes,No"</formula1>
    </dataValidation>
    <dataValidation type="list" allowBlank="1" showInputMessage="1" showErrorMessage="1" sqref="B5:C5" xr:uid="{00000000-0002-0000-0700-000002000000}">
      <formula1>"1,2,3"</formula1>
    </dataValidation>
  </dataValidations>
  <pageMargins left="0.7" right="0.7" top="0.75" bottom="0.75" header="0.3" footer="0.3"/>
  <pageSetup orientation="portrait" r:id="rId1"/>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9" tint="-0.249977111117893"/>
  </sheetPr>
  <dimension ref="A1:BH150"/>
  <sheetViews>
    <sheetView zoomScale="85" zoomScaleNormal="85" workbookViewId="0">
      <selection sqref="A1:P33"/>
    </sheetView>
  </sheetViews>
  <sheetFormatPr defaultRowHeight="14.4" x14ac:dyDescent="0.3"/>
  <cols>
    <col min="1" max="1" width="15" customWidth="1"/>
  </cols>
  <sheetData>
    <row r="1" spans="1:43" x14ac:dyDescent="0.3">
      <c r="A1" t="s">
        <v>345</v>
      </c>
    </row>
    <row r="2" spans="1:43" ht="16.5" customHeight="1" thickBot="1" x14ac:dyDescent="0.35">
      <c r="A2" s="28" t="s">
        <v>346</v>
      </c>
      <c r="B2" s="28" t="s">
        <v>347</v>
      </c>
      <c r="C2" s="28" t="s">
        <v>348</v>
      </c>
      <c r="D2" s="28" t="s">
        <v>277</v>
      </c>
      <c r="E2" s="29" t="s">
        <v>278</v>
      </c>
      <c r="F2" s="30" t="s">
        <v>349</v>
      </c>
      <c r="G2" s="31" t="s">
        <v>277</v>
      </c>
      <c r="H2" s="31" t="s">
        <v>278</v>
      </c>
      <c r="I2" s="1392" t="s">
        <v>350</v>
      </c>
      <c r="J2" s="1393"/>
      <c r="K2" s="1393"/>
      <c r="L2" s="1393"/>
      <c r="M2" s="1393"/>
      <c r="N2" s="1393"/>
      <c r="O2" s="1393"/>
      <c r="P2" s="1394"/>
      <c r="Q2" s="1395"/>
    </row>
    <row r="3" spans="1:43" x14ac:dyDescent="0.3">
      <c r="A3" s="24">
        <v>1</v>
      </c>
      <c r="B3" s="24">
        <v>1</v>
      </c>
      <c r="C3" s="24">
        <v>3421</v>
      </c>
      <c r="D3" s="24">
        <v>1769</v>
      </c>
      <c r="E3" s="32">
        <v>5125</v>
      </c>
      <c r="F3" s="33">
        <f>ROUNDUP(0.526*C6, 0)</f>
        <v>3421</v>
      </c>
      <c r="G3" s="33">
        <f>ROUNDUP(0.526*D6, 0)</f>
        <v>2063</v>
      </c>
      <c r="H3" s="33">
        <f>ROUNDUP(0.526*E6, 0)</f>
        <v>4394</v>
      </c>
      <c r="I3" s="1392"/>
      <c r="J3" s="1393"/>
      <c r="K3" s="1393"/>
      <c r="L3" s="1393"/>
      <c r="M3" s="1393"/>
      <c r="N3" s="1393"/>
      <c r="O3" s="1393"/>
      <c r="P3" s="1394"/>
      <c r="Q3" s="1395"/>
    </row>
    <row r="4" spans="1:43" x14ac:dyDescent="0.3">
      <c r="A4" s="24">
        <v>1</v>
      </c>
      <c r="B4" s="24">
        <v>2</v>
      </c>
      <c r="C4" s="24">
        <v>1681</v>
      </c>
      <c r="D4" s="24">
        <v>804</v>
      </c>
      <c r="E4" s="32">
        <v>2485</v>
      </c>
      <c r="F4" s="33">
        <f>ROUNDUP(0.259*C6, 0)</f>
        <v>1685</v>
      </c>
      <c r="G4" s="33">
        <f>ROUNDUP(0.259*D6, 0)</f>
        <v>1016</v>
      </c>
      <c r="H4" s="33">
        <f>ROUNDUP(0.259*E6, 0)</f>
        <v>2164</v>
      </c>
      <c r="I4" s="1392"/>
      <c r="J4" s="1393"/>
      <c r="K4" s="1393"/>
      <c r="L4" s="1393"/>
      <c r="M4" s="1393"/>
      <c r="N4" s="1393"/>
      <c r="O4" s="1393"/>
      <c r="P4" s="1394"/>
      <c r="Q4" s="1395"/>
    </row>
    <row r="5" spans="1:43" ht="15" thickBot="1" x14ac:dyDescent="0.35">
      <c r="A5" s="24">
        <v>1</v>
      </c>
      <c r="B5" s="24">
        <v>3</v>
      </c>
      <c r="C5" s="24">
        <v>1401</v>
      </c>
      <c r="D5" s="24">
        <v>396</v>
      </c>
      <c r="E5" s="32">
        <v>2845</v>
      </c>
      <c r="F5" s="33">
        <f>ROUNDUP(0.216*C6, 0)</f>
        <v>1405</v>
      </c>
      <c r="G5" s="16">
        <f>ROUNDUP(0.216*D6, 0)</f>
        <v>848</v>
      </c>
      <c r="H5" s="24">
        <f>ROUNDUP(0.216*E6, 0)</f>
        <v>1805</v>
      </c>
      <c r="I5" s="1392"/>
      <c r="J5" s="1393"/>
      <c r="K5" s="1393"/>
      <c r="L5" s="1393"/>
      <c r="M5" s="1393"/>
      <c r="N5" s="1393"/>
      <c r="O5" s="1393"/>
      <c r="P5" s="1394"/>
      <c r="Q5" s="1395"/>
      <c r="R5" s="16"/>
    </row>
    <row r="6" spans="1:43" ht="15" thickBot="1" x14ac:dyDescent="0.35">
      <c r="A6" s="1396" t="s">
        <v>351</v>
      </c>
      <c r="B6" s="1397"/>
      <c r="C6" s="34">
        <f>SUM(C3:C5)</f>
        <v>6503</v>
      </c>
      <c r="D6" s="984">
        <v>3922</v>
      </c>
      <c r="E6" s="34">
        <v>8352</v>
      </c>
      <c r="F6" s="35">
        <v>7087</v>
      </c>
      <c r="G6" s="36">
        <v>4699</v>
      </c>
      <c r="H6" s="37">
        <v>9717</v>
      </c>
      <c r="I6" s="1398" t="s">
        <v>352</v>
      </c>
      <c r="J6" s="1398"/>
      <c r="K6" s="1398"/>
      <c r="L6" s="1398"/>
      <c r="M6" s="1398"/>
      <c r="N6" s="1398"/>
      <c r="O6" s="1398"/>
      <c r="P6" s="38"/>
      <c r="Q6" s="38"/>
      <c r="R6" s="38"/>
    </row>
    <row r="7" spans="1:43" x14ac:dyDescent="0.3">
      <c r="A7" s="24">
        <v>2</v>
      </c>
      <c r="B7" s="24">
        <v>1</v>
      </c>
      <c r="C7" s="24">
        <v>1568</v>
      </c>
      <c r="D7" s="24">
        <v>794</v>
      </c>
      <c r="E7" s="32">
        <v>2491</v>
      </c>
      <c r="F7" s="33"/>
      <c r="G7" s="39"/>
      <c r="H7" s="39"/>
      <c r="I7" s="1398"/>
      <c r="J7" s="1398"/>
      <c r="K7" s="1398"/>
      <c r="L7" s="1398"/>
      <c r="M7" s="1398"/>
      <c r="N7" s="1398"/>
      <c r="O7" s="1398"/>
      <c r="W7" s="40"/>
      <c r="X7" s="41"/>
      <c r="Y7" s="41"/>
      <c r="Z7" s="1399" t="s">
        <v>353</v>
      </c>
      <c r="AA7" s="1399"/>
      <c r="AB7" s="1399"/>
      <c r="AC7" s="1399"/>
      <c r="AD7" s="1399"/>
      <c r="AE7" s="1399"/>
      <c r="AF7" s="1399"/>
      <c r="AG7" s="1399"/>
    </row>
    <row r="8" spans="1:43" ht="15" thickBot="1" x14ac:dyDescent="0.35">
      <c r="A8" s="24">
        <v>2</v>
      </c>
      <c r="B8" s="24">
        <v>2</v>
      </c>
      <c r="C8" s="24">
        <v>455</v>
      </c>
      <c r="D8" s="24">
        <v>322</v>
      </c>
      <c r="E8" s="32">
        <v>1068</v>
      </c>
      <c r="F8" s="33"/>
      <c r="G8" s="39"/>
      <c r="H8" s="42"/>
      <c r="I8" s="1398"/>
      <c r="J8" s="1398"/>
      <c r="K8" s="1398"/>
      <c r="L8" s="1398"/>
      <c r="M8" s="1398"/>
      <c r="N8" s="1398"/>
      <c r="O8" s="1398"/>
      <c r="W8" s="43"/>
      <c r="X8" s="44"/>
      <c r="Y8" s="44"/>
      <c r="Z8" s="1399"/>
      <c r="AA8" s="1399"/>
      <c r="AB8" s="1399"/>
      <c r="AC8" s="1399"/>
      <c r="AD8" s="1399"/>
      <c r="AE8" s="1399"/>
      <c r="AF8" s="1399"/>
      <c r="AG8" s="1399"/>
      <c r="AI8" s="982"/>
      <c r="AJ8" s="982"/>
      <c r="AK8" s="982"/>
      <c r="AL8" s="982"/>
      <c r="AM8" s="982"/>
      <c r="AN8" s="982"/>
      <c r="AO8" s="982"/>
      <c r="AP8" s="982"/>
      <c r="AQ8" s="982"/>
    </row>
    <row r="9" spans="1:43" ht="15" thickBot="1" x14ac:dyDescent="0.35">
      <c r="A9" s="1396" t="s">
        <v>351</v>
      </c>
      <c r="B9" s="1397"/>
      <c r="C9" s="34">
        <f>SUM(C7:C8)</f>
        <v>2023</v>
      </c>
      <c r="D9" s="34">
        <v>751</v>
      </c>
      <c r="E9" s="984">
        <v>1881</v>
      </c>
      <c r="F9" s="983"/>
      <c r="G9" s="45"/>
      <c r="H9" s="46"/>
      <c r="W9" s="43"/>
      <c r="X9" s="44"/>
      <c r="Y9" s="44"/>
      <c r="Z9" s="1399"/>
      <c r="AA9" s="1399"/>
      <c r="AB9" s="1399"/>
      <c r="AC9" s="1399"/>
      <c r="AD9" s="1399"/>
      <c r="AE9" s="1399"/>
      <c r="AF9" s="1399"/>
      <c r="AG9" s="1399"/>
      <c r="AI9" s="986"/>
      <c r="AJ9" s="986"/>
      <c r="AK9" s="986"/>
      <c r="AL9" s="986"/>
      <c r="AM9" s="986"/>
      <c r="AN9" s="986"/>
      <c r="AO9" s="986"/>
      <c r="AP9" s="986"/>
      <c r="AQ9" s="986"/>
    </row>
    <row r="10" spans="1:43" x14ac:dyDescent="0.3">
      <c r="A10" s="16"/>
      <c r="B10" s="16"/>
      <c r="C10" s="16"/>
      <c r="D10" s="16"/>
      <c r="E10" s="16"/>
      <c r="F10" s="16"/>
      <c r="G10" s="16"/>
      <c r="W10" s="43"/>
      <c r="X10" s="44"/>
      <c r="Y10" s="44"/>
      <c r="Z10" s="1399"/>
      <c r="AA10" s="1399"/>
      <c r="AB10" s="1399"/>
      <c r="AC10" s="1399"/>
      <c r="AD10" s="1399"/>
      <c r="AE10" s="1399"/>
      <c r="AF10" s="1399"/>
      <c r="AG10" s="1399"/>
      <c r="AI10" s="986"/>
      <c r="AJ10" s="986"/>
      <c r="AK10" s="986"/>
      <c r="AL10" s="986"/>
      <c r="AM10" s="986"/>
      <c r="AN10" s="986"/>
      <c r="AO10" s="986"/>
      <c r="AP10" s="986"/>
      <c r="AQ10" s="986"/>
    </row>
    <row r="11" spans="1:43" x14ac:dyDescent="0.3">
      <c r="A11" s="1400" t="s">
        <v>354</v>
      </c>
      <c r="B11" s="1400"/>
      <c r="C11" s="1400"/>
      <c r="D11" s="1400"/>
      <c r="E11" s="1400"/>
      <c r="F11" s="1400"/>
      <c r="G11" s="1400"/>
      <c r="H11" s="1400"/>
      <c r="I11" s="1400"/>
      <c r="J11" s="1400"/>
      <c r="K11" s="1400"/>
      <c r="L11" s="1400"/>
      <c r="M11" s="1400"/>
      <c r="N11" s="1400"/>
      <c r="O11" s="1400"/>
      <c r="P11" s="1400"/>
      <c r="Z11" s="1399"/>
      <c r="AA11" s="1399"/>
      <c r="AB11" s="1399"/>
      <c r="AC11" s="1399"/>
      <c r="AD11" s="1399"/>
      <c r="AE11" s="1399"/>
      <c r="AF11" s="1399"/>
      <c r="AG11" s="1399"/>
      <c r="AI11" s="986"/>
      <c r="AJ11" s="986"/>
      <c r="AK11" s="986"/>
      <c r="AL11" s="986"/>
      <c r="AM11" s="986"/>
      <c r="AN11" s="986"/>
      <c r="AO11" s="986"/>
      <c r="AP11" s="986"/>
      <c r="AQ11" s="986"/>
    </row>
    <row r="12" spans="1:43" x14ac:dyDescent="0.3">
      <c r="A12" s="16" t="s">
        <v>355</v>
      </c>
      <c r="B12" s="986">
        <v>1</v>
      </c>
      <c r="C12" s="986">
        <v>2</v>
      </c>
      <c r="D12" s="986">
        <v>3</v>
      </c>
      <c r="E12" s="986">
        <v>4</v>
      </c>
      <c r="F12" s="986">
        <v>5</v>
      </c>
      <c r="G12" s="986">
        <v>6</v>
      </c>
      <c r="H12" s="986">
        <v>7</v>
      </c>
      <c r="I12" s="986">
        <v>8</v>
      </c>
      <c r="J12" s="986">
        <v>9</v>
      </c>
      <c r="K12" s="986">
        <v>10</v>
      </c>
      <c r="L12" s="986">
        <v>11</v>
      </c>
      <c r="M12" s="986">
        <v>12</v>
      </c>
      <c r="N12" s="987" t="s">
        <v>356</v>
      </c>
      <c r="O12" s="1401" t="s">
        <v>357</v>
      </c>
      <c r="P12" s="1401"/>
      <c r="Z12" s="1399"/>
      <c r="AA12" s="1399"/>
      <c r="AB12" s="1399"/>
      <c r="AC12" s="1399"/>
      <c r="AD12" s="1399"/>
      <c r="AE12" s="1399"/>
      <c r="AF12" s="1399"/>
      <c r="AG12" s="1399"/>
      <c r="AI12" s="986"/>
      <c r="AJ12" s="986"/>
      <c r="AK12" s="986"/>
      <c r="AL12" s="986"/>
      <c r="AM12" s="986"/>
      <c r="AN12" s="986"/>
      <c r="AO12" s="986"/>
      <c r="AP12" s="986"/>
      <c r="AQ12" s="986"/>
    </row>
    <row r="13" spans="1:43" x14ac:dyDescent="0.3">
      <c r="A13" t="s">
        <v>358</v>
      </c>
      <c r="B13" s="48">
        <v>0.21</v>
      </c>
      <c r="C13" s="48">
        <v>0.61</v>
      </c>
      <c r="D13" s="48">
        <v>6.8000000000000005E-2</v>
      </c>
      <c r="E13" s="48">
        <v>5.0999999999999997E-2</v>
      </c>
      <c r="F13" s="48">
        <v>2.5000000000000001E-2</v>
      </c>
      <c r="G13" s="48">
        <v>1.2999999999999999E-2</v>
      </c>
      <c r="H13" s="48">
        <v>4.0000000000000001E-3</v>
      </c>
      <c r="I13" s="48">
        <v>7.0000000000000001E-3</v>
      </c>
      <c r="J13" s="48">
        <v>2E-3</v>
      </c>
      <c r="K13" s="48">
        <v>4.0000000000000001E-3</v>
      </c>
      <c r="L13" s="48">
        <v>2E-3</v>
      </c>
      <c r="M13" s="48">
        <v>2E-3</v>
      </c>
      <c r="N13" s="49">
        <f>ROUNDUP(SUM(B13:M13),2)</f>
        <v>1</v>
      </c>
      <c r="O13" s="1402">
        <v>1.73</v>
      </c>
      <c r="P13" s="1402"/>
      <c r="Z13" s="1399"/>
      <c r="AA13" s="1399"/>
      <c r="AB13" s="1399"/>
      <c r="AC13" s="1399"/>
      <c r="AD13" s="1399"/>
      <c r="AE13" s="1399"/>
      <c r="AF13" s="1399"/>
      <c r="AG13" s="1399"/>
      <c r="AI13" s="986"/>
      <c r="AJ13" s="986"/>
      <c r="AK13" s="986"/>
      <c r="AL13" s="986"/>
      <c r="AM13" s="986"/>
      <c r="AN13" s="986"/>
      <c r="AO13" s="986"/>
      <c r="AP13" s="986"/>
      <c r="AQ13" s="986"/>
    </row>
    <row r="14" spans="1:43" x14ac:dyDescent="0.3">
      <c r="B14" s="43"/>
      <c r="C14" s="43"/>
      <c r="D14" s="43"/>
      <c r="E14" s="43"/>
      <c r="F14" s="43"/>
      <c r="G14" s="43"/>
      <c r="H14" s="43"/>
      <c r="I14" s="43"/>
      <c r="J14" s="43"/>
      <c r="K14" s="43"/>
      <c r="L14" s="43"/>
      <c r="M14" s="43"/>
      <c r="N14" s="49"/>
      <c r="Z14" s="985"/>
      <c r="AA14" s="985"/>
      <c r="AB14" s="985"/>
      <c r="AC14" s="985"/>
      <c r="AD14" s="985"/>
      <c r="AE14" s="985"/>
      <c r="AF14" s="985"/>
      <c r="AG14" s="985"/>
      <c r="AI14" s="986"/>
      <c r="AJ14" s="986"/>
      <c r="AK14" s="986"/>
      <c r="AL14" s="986"/>
      <c r="AM14" s="986"/>
      <c r="AN14" s="986"/>
      <c r="AO14" s="986"/>
      <c r="AP14" s="986"/>
      <c r="AQ14" s="986"/>
    </row>
    <row r="15" spans="1:43" x14ac:dyDescent="0.3">
      <c r="B15" s="43"/>
      <c r="C15" s="43"/>
      <c r="D15" s="43"/>
      <c r="E15" s="43"/>
      <c r="F15" s="43"/>
      <c r="G15" s="43"/>
      <c r="H15" s="43"/>
      <c r="I15" s="43"/>
      <c r="J15" s="43"/>
      <c r="K15" s="43"/>
      <c r="L15" s="43"/>
      <c r="M15" s="43"/>
      <c r="N15" s="49"/>
      <c r="Z15" s="985"/>
      <c r="AA15" s="985"/>
      <c r="AB15" s="985"/>
      <c r="AC15" s="985"/>
      <c r="AD15" s="985"/>
      <c r="AE15" s="985"/>
      <c r="AF15" s="985"/>
      <c r="AG15" s="985"/>
      <c r="AI15" s="986"/>
      <c r="AJ15" s="986"/>
      <c r="AK15" s="986"/>
      <c r="AL15" s="986"/>
      <c r="AM15" s="986"/>
      <c r="AN15" s="986"/>
      <c r="AO15" s="986"/>
      <c r="AP15" s="986"/>
      <c r="AQ15" s="986"/>
    </row>
    <row r="16" spans="1:43" ht="15" thickBot="1" x14ac:dyDescent="0.35">
      <c r="B16" s="43"/>
      <c r="C16" s="43"/>
      <c r="D16" s="43"/>
      <c r="E16" s="43"/>
      <c r="F16" s="43"/>
      <c r="G16" s="43"/>
      <c r="H16" s="43"/>
      <c r="I16" s="43"/>
      <c r="J16" s="43"/>
      <c r="K16" s="43"/>
      <c r="L16" s="43"/>
      <c r="M16" s="43"/>
      <c r="N16" s="43"/>
      <c r="AI16" s="986"/>
      <c r="AJ16" s="986"/>
      <c r="AK16" s="986"/>
      <c r="AL16" s="986"/>
      <c r="AM16" s="986"/>
      <c r="AN16" s="986"/>
      <c r="AO16" s="986"/>
      <c r="AP16" s="986"/>
      <c r="AQ16" s="986"/>
    </row>
    <row r="17" spans="1:60" ht="35.25" customHeight="1" thickTop="1" x14ac:dyDescent="0.3">
      <c r="A17" s="1384" t="s">
        <v>359</v>
      </c>
      <c r="B17" s="1385"/>
      <c r="C17" s="1385"/>
      <c r="D17" s="1385"/>
      <c r="E17" s="1385"/>
      <c r="F17" s="1385"/>
      <c r="G17" s="1385"/>
      <c r="H17" s="1385"/>
      <c r="I17" s="1385"/>
      <c r="J17" s="1385"/>
      <c r="K17" s="1385"/>
      <c r="L17" s="1385"/>
      <c r="M17" s="1385"/>
      <c r="N17" s="1385"/>
      <c r="O17" s="1385"/>
      <c r="P17" s="1385"/>
      <c r="Q17" s="1385"/>
      <c r="R17" s="1385"/>
      <c r="S17" s="1385"/>
      <c r="T17" s="1386"/>
      <c r="U17" s="1383" t="s">
        <v>360</v>
      </c>
      <c r="V17" s="1383"/>
      <c r="W17" s="1383"/>
      <c r="X17" s="1383"/>
      <c r="Y17" s="1383"/>
      <c r="Z17" s="1383"/>
      <c r="AA17" s="1383"/>
      <c r="AB17" s="1383"/>
      <c r="AC17" s="1383"/>
      <c r="AD17" s="1383"/>
      <c r="AE17" s="1383"/>
      <c r="AF17" s="1383"/>
      <c r="AG17" s="1383"/>
      <c r="AH17" s="1383"/>
      <c r="AI17" s="1383"/>
      <c r="AJ17" s="1383"/>
      <c r="AK17" s="1383"/>
      <c r="AL17" s="1383"/>
      <c r="AM17" s="1383"/>
      <c r="AN17" s="1383"/>
      <c r="AO17" s="1383" t="s">
        <v>361</v>
      </c>
      <c r="AP17" s="1383"/>
      <c r="AQ17" s="1383"/>
      <c r="AR17" s="1383"/>
      <c r="AS17" s="1383"/>
      <c r="AT17" s="1383"/>
      <c r="AU17" s="1383"/>
      <c r="AV17" s="1383"/>
      <c r="AW17" s="1383"/>
      <c r="AX17" s="1383"/>
      <c r="AY17" s="1383"/>
      <c r="AZ17" s="1383"/>
      <c r="BA17" s="1383"/>
      <c r="BB17" s="1383"/>
      <c r="BC17" s="1383"/>
      <c r="BD17" s="1383"/>
      <c r="BE17" s="1383"/>
      <c r="BF17" s="1383"/>
      <c r="BG17" s="1383"/>
      <c r="BH17" s="50"/>
    </row>
    <row r="18" spans="1:60" ht="80.400000000000006" thickBot="1" x14ac:dyDescent="0.35">
      <c r="A18" s="51"/>
      <c r="B18" s="52" t="s">
        <v>362</v>
      </c>
      <c r="C18" s="52" t="s">
        <v>363</v>
      </c>
      <c r="D18" s="52" t="s">
        <v>364</v>
      </c>
      <c r="E18" s="52" t="s">
        <v>365</v>
      </c>
      <c r="F18" s="52" t="s">
        <v>366</v>
      </c>
      <c r="G18" s="52" t="s">
        <v>367</v>
      </c>
      <c r="H18" s="53" t="s">
        <v>368</v>
      </c>
      <c r="I18" s="54" t="s">
        <v>369</v>
      </c>
      <c r="J18" s="55" t="s">
        <v>370</v>
      </c>
      <c r="K18" s="52" t="s">
        <v>371</v>
      </c>
      <c r="L18" s="52" t="s">
        <v>372</v>
      </c>
      <c r="M18" s="52" t="s">
        <v>373</v>
      </c>
      <c r="N18" s="52" t="s">
        <v>374</v>
      </c>
      <c r="O18" s="52" t="s">
        <v>375</v>
      </c>
      <c r="P18" s="52" t="s">
        <v>376</v>
      </c>
      <c r="Q18" s="52" t="s">
        <v>377</v>
      </c>
      <c r="R18" s="52" t="s">
        <v>378</v>
      </c>
      <c r="S18" s="52" t="s">
        <v>379</v>
      </c>
      <c r="T18" s="56" t="s">
        <v>380</v>
      </c>
      <c r="U18" s="57"/>
      <c r="V18" s="58" t="s">
        <v>362</v>
      </c>
      <c r="W18" s="58" t="s">
        <v>381</v>
      </c>
      <c r="X18" s="59" t="s">
        <v>364</v>
      </c>
      <c r="Y18" s="57" t="s">
        <v>365</v>
      </c>
      <c r="Z18" s="52" t="s">
        <v>366</v>
      </c>
      <c r="AA18" s="52" t="s">
        <v>367</v>
      </c>
      <c r="AB18" s="60" t="s">
        <v>368</v>
      </c>
      <c r="AC18" s="57" t="s">
        <v>382</v>
      </c>
      <c r="AD18" s="57" t="s">
        <v>383</v>
      </c>
      <c r="AE18" s="60" t="s">
        <v>371</v>
      </c>
      <c r="AF18" s="60" t="s">
        <v>372</v>
      </c>
      <c r="AG18" s="60" t="s">
        <v>373</v>
      </c>
      <c r="AH18" s="60" t="s">
        <v>374</v>
      </c>
      <c r="AI18" s="60" t="s">
        <v>375</v>
      </c>
      <c r="AJ18" s="60" t="s">
        <v>376</v>
      </c>
      <c r="AK18" s="60" t="s">
        <v>377</v>
      </c>
      <c r="AL18" s="60" t="s">
        <v>378</v>
      </c>
      <c r="AM18" s="60" t="s">
        <v>379</v>
      </c>
      <c r="AN18" s="60" t="s">
        <v>380</v>
      </c>
      <c r="AO18" s="57"/>
      <c r="AP18" s="58" t="s">
        <v>362</v>
      </c>
      <c r="AQ18" s="58" t="s">
        <v>363</v>
      </c>
      <c r="AR18" s="59" t="s">
        <v>364</v>
      </c>
      <c r="AS18" s="57" t="s">
        <v>365</v>
      </c>
      <c r="AT18" s="52" t="s">
        <v>366</v>
      </c>
      <c r="AU18" s="52" t="s">
        <v>367</v>
      </c>
      <c r="AV18" s="60" t="s">
        <v>368</v>
      </c>
      <c r="AW18" s="57" t="s">
        <v>382</v>
      </c>
      <c r="AX18" s="57" t="s">
        <v>383</v>
      </c>
      <c r="AY18" s="60" t="s">
        <v>371</v>
      </c>
      <c r="AZ18" s="60" t="s">
        <v>372</v>
      </c>
      <c r="BA18" s="60" t="s">
        <v>373</v>
      </c>
      <c r="BB18" s="60" t="s">
        <v>374</v>
      </c>
      <c r="BC18" s="60" t="s">
        <v>375</v>
      </c>
      <c r="BD18" s="60" t="s">
        <v>376</v>
      </c>
      <c r="BE18" s="60" t="s">
        <v>377</v>
      </c>
      <c r="BF18" s="60" t="s">
        <v>378</v>
      </c>
      <c r="BG18" s="60" t="s">
        <v>379</v>
      </c>
      <c r="BH18" s="60" t="s">
        <v>380</v>
      </c>
    </row>
    <row r="19" spans="1:60" ht="15" thickTop="1" x14ac:dyDescent="0.3">
      <c r="A19" s="61"/>
      <c r="B19" s="62">
        <f t="shared" ref="B19:B35" si="0">ROUNDUP(1.84*($C$6/$O$13),0)</f>
        <v>6917</v>
      </c>
      <c r="C19" s="63">
        <v>30</v>
      </c>
      <c r="D19" s="64">
        <f>((C19^2)*3.1428)/1000000</f>
        <v>2.8285200000000002E-3</v>
      </c>
      <c r="E19" s="65">
        <f t="shared" ref="E19:E35" si="1">B19/(3494/$D19)</f>
        <v>5.5995629192902123E-3</v>
      </c>
      <c r="F19" s="65">
        <f>1*E19</f>
        <v>5.5995629192902123E-3</v>
      </c>
      <c r="G19" s="65">
        <f>1*($E19*0.22)</f>
        <v>1.2319038422438466E-3</v>
      </c>
      <c r="H19" s="65">
        <f t="shared" ref="H19:H35" si="2">EXP(-$E19)</f>
        <v>0.99441608541159132</v>
      </c>
      <c r="I19" s="65">
        <f>SUM(K19,M19,O19,Q19,S19)</f>
        <v>5.5839145884086262E-3</v>
      </c>
      <c r="J19" s="66">
        <f>SUM(L19,N19,P19,R19,T19)</f>
        <v>1.2311453601965329E-3</v>
      </c>
      <c r="K19" s="65">
        <f t="shared" ref="K19:K35" si="3">EXP(-$F19)*POWER($F19,1)</f>
        <v>5.5682954382164753E-3</v>
      </c>
      <c r="L19" s="65">
        <f t="shared" ref="L19:L35" si="4">EXP(-$G19)*POWER($G19,1)</f>
        <v>1.2303871895442597E-3</v>
      </c>
      <c r="M19" s="65">
        <f t="shared" ref="M19:M35" si="5">EXP(-$F19)*POWER($F19,2)/FACT(2)</f>
        <v>1.5590010329744911E-5</v>
      </c>
      <c r="N19" s="65">
        <f t="shared" ref="N19:N35" si="6">EXP(-$G19)*POWER($G19,2)/FACT(2)</f>
        <v>7.5785935312359081E-7</v>
      </c>
      <c r="O19" s="65">
        <f t="shared" ref="O19:O35" si="7">EXP(-$F19)*POWER($F19,3)/FACT(3)</f>
        <v>2.9099081251263659E-8</v>
      </c>
      <c r="P19" s="65">
        <f t="shared" ref="P19:P35" si="8">EXP(-$G19)*POWER($G19,3)/FACT(3)</f>
        <v>3.1120328299779586E-10</v>
      </c>
      <c r="Q19" s="65">
        <f t="shared" ref="Q19:Q35" si="9">EXP(-$F19)*POWER($F19,4)/FACT(4)</f>
        <v>4.0735534089997257E-11</v>
      </c>
      <c r="R19" s="65">
        <f t="shared" ref="R19:R35" si="10">EXP(-$G19)*POWER($G19,4)/FACT(4)</f>
        <v>9.5843130010970963E-14</v>
      </c>
      <c r="S19" s="65">
        <f t="shared" ref="S19:S35" si="11">EXP(-$F19)*POWER($F19,5)/FACT(5)</f>
        <v>4.5620237237566207E-14</v>
      </c>
      <c r="T19" s="67">
        <f t="shared" ref="T19:T35" si="12">EXP(-$G19)*POWER($G19,5)/FACT(5)</f>
        <v>2.3613904022638334E-17</v>
      </c>
      <c r="U19" s="68"/>
      <c r="V19" s="62">
        <f>ROUNDUP($F$3/$O$13,0)</f>
        <v>1978</v>
      </c>
      <c r="W19" s="63">
        <v>1950</v>
      </c>
      <c r="X19" s="64">
        <f t="shared" ref="X19:X35" si="13">((W19^2)*3.1428)/1000000</f>
        <v>11.950497</v>
      </c>
      <c r="Y19" s="65">
        <f>V19/(839/$X19)</f>
        <v>28.174115692491061</v>
      </c>
      <c r="Z19" s="65">
        <f>1*$Y19</f>
        <v>28.174115692491061</v>
      </c>
      <c r="AA19" s="65">
        <f>1*($Y19*0.22)</f>
        <v>6.1983054523480332</v>
      </c>
      <c r="AB19" s="65">
        <f>EXP(-$Z19)</f>
        <v>5.8094768073066794E-13</v>
      </c>
      <c r="AC19" s="65">
        <f>SUM(AE19,AG19,AI19,AK19,AM19)</f>
        <v>1.0360669229523965E-7</v>
      </c>
      <c r="AD19" s="65">
        <f>SUM(AF19,AH19,AJ19,AL19,AN19)</f>
        <v>0.41234275498389072</v>
      </c>
      <c r="AE19" s="65">
        <f>EXP(-$Z19)*POWER($Z19,1)</f>
        <v>1.6367687168190198E-11</v>
      </c>
      <c r="AF19" s="65">
        <f>EXP(-$AA19)*POWER($AA19,1)</f>
        <v>1.2600364816019441E-2</v>
      </c>
      <c r="AG19" s="65">
        <f>EXP(-$Z19)*POWER($Z19,2)/FACT(2)</f>
        <v>2.3057255594754601E-10</v>
      </c>
      <c r="AH19" s="65">
        <f>EXP(-$AA19)*POWER($AA19,2)/FACT(2)</f>
        <v>3.905045497035381E-2</v>
      </c>
      <c r="AI19" s="65">
        <f>EXP(-$Z19)*POWER($Z19,3)/FACT(3)</f>
        <v>2.1653926222598427E-9</v>
      </c>
      <c r="AJ19" s="65">
        <f>EXP(-$AA19)*POWER($AA19,3)/FACT(3)</f>
        <v>8.0682215986471781E-2</v>
      </c>
      <c r="AK19" s="65">
        <f>EXP(-$Z19)*POWER($Z19,4)/FACT(4)</f>
        <v>1.525200556480385E-8</v>
      </c>
      <c r="AL19" s="65">
        <f>EXP(-$AA19)*POWER($AA19,4)/FACT(4)</f>
        <v>0.12502325481411744</v>
      </c>
      <c r="AM19" s="65">
        <f>EXP(-$Z19)*POWER($Z19,5)/FACT(5)</f>
        <v>8.5942353865060217E-8</v>
      </c>
      <c r="AN19" s="65">
        <f>EXP(-$AA19)*POWER($AA19,5)/FACT(5)</f>
        <v>0.15498646439692829</v>
      </c>
      <c r="AO19" s="68"/>
      <c r="AP19" s="62">
        <f>ROUNDUP($F$5/$O$13,0)</f>
        <v>813</v>
      </c>
      <c r="AQ19" s="63">
        <v>30</v>
      </c>
      <c r="AR19" s="64">
        <f t="shared" ref="AR19:AR39" si="14">((AQ19^2)*3.1428)/1000000</f>
        <v>2.8285200000000002E-3</v>
      </c>
      <c r="AS19" s="65">
        <f t="shared" ref="AS19:AS39" si="15">AP19/(1458/$AR19)</f>
        <v>1.5772200000000001E-3</v>
      </c>
      <c r="AT19" s="65">
        <f>1*AS19</f>
        <v>1.5772200000000001E-3</v>
      </c>
      <c r="AU19" s="65">
        <f>1*($AS19-($AS19*0.78))</f>
        <v>3.4698840000000003E-4</v>
      </c>
      <c r="AV19" s="65">
        <f t="shared" ref="AV19:AV39" si="16">EXP(-$AT19)</f>
        <v>0.99842402315780054</v>
      </c>
      <c r="AW19" s="65">
        <f>SUM(AY19,BA19,BC19,BE19,BG19)</f>
        <v>1.5759768421994764E-3</v>
      </c>
      <c r="AX19" s="65">
        <f>SUM(AZ19,BB19,BD19,BF19,BH19)</f>
        <v>3.4692820648748427E-4</v>
      </c>
      <c r="AY19" s="65">
        <f t="shared" ref="AY19:AY39" si="17">EXP(-$AT19)*POWER($AT19,1)</f>
        <v>1.5747343378049463E-3</v>
      </c>
      <c r="AZ19" s="65">
        <f t="shared" ref="AZ19:AZ39" si="18">EXP(-$AU19)*POWER($AU19,1)</f>
        <v>3.4686801993671608E-4</v>
      </c>
      <c r="BA19" s="65">
        <f t="shared" ref="BA19:BA39" si="19">EXP(-$AT19)*POWER($AT19,2)/FACT(2)</f>
        <v>1.2418512461363586E-6</v>
      </c>
      <c r="BB19" s="65">
        <f t="shared" ref="BB19:BB39" si="20">EXP(-$AU19)*POWER($AU19,2)/FACT(2)</f>
        <v>6.0179589624504612E-8</v>
      </c>
      <c r="BC19" s="65">
        <f t="shared" ref="BC19:BC39" si="21">EXP(-$AT19)*POWER($AT19,3)/FACT(3)</f>
        <v>6.5289087414372918E-10</v>
      </c>
      <c r="BD19" s="65">
        <f t="shared" ref="BD19:BD39" si="22">EXP(-$AU19)*POWER($AU19,3)/FACT(3)</f>
        <v>6.9605398388211517E-12</v>
      </c>
      <c r="BE19" s="65">
        <f t="shared" ref="BE19:BE39" si="23">EXP(-$AT19)*POWER($AT19,4)/FACT(4)</f>
        <v>2.5743813612924318E-13</v>
      </c>
      <c r="BF19" s="65">
        <f t="shared" ref="BF19:BF39" si="24">EXP(-$AU19)*POWER($AU19,4)/FACT(4)</f>
        <v>6.0380664545220234E-16</v>
      </c>
      <c r="BG19" s="65">
        <f t="shared" ref="BG19:BG39" si="25">EXP(-$AT19)*POWER($AT19,5)/FACT(5)</f>
        <v>8.1207315413152989E-17</v>
      </c>
      <c r="BH19" s="65">
        <f t="shared" ref="BH19:BH39" si="26">EXP(-$AU19)*POWER($AU19,5)/FACT(5)</f>
        <v>4.1902780362965397E-20</v>
      </c>
    </row>
    <row r="20" spans="1:60" x14ac:dyDescent="0.3">
      <c r="A20" s="61"/>
      <c r="B20" s="62">
        <f t="shared" si="0"/>
        <v>6917</v>
      </c>
      <c r="C20" s="63">
        <v>60</v>
      </c>
      <c r="D20" s="64">
        <f t="shared" ref="D20:D35" si="27">((C20^2)*3.1428)/1000000</f>
        <v>1.1314080000000001E-2</v>
      </c>
      <c r="E20" s="65">
        <f t="shared" si="1"/>
        <v>2.2398251677160849E-2</v>
      </c>
      <c r="F20" s="65">
        <f t="shared" ref="F20:F35" si="28">1*E20</f>
        <v>2.2398251677160849E-2</v>
      </c>
      <c r="G20" s="65">
        <f t="shared" ref="G20:G35" si="29">1*($E20-($E20*0.78))</f>
        <v>4.9276153689753847E-3</v>
      </c>
      <c r="H20" s="65">
        <f t="shared" si="2"/>
        <v>0.97785072680323937</v>
      </c>
      <c r="I20" s="65">
        <f t="shared" ref="I20:J34" si="30">SUM(K20,M20,O20,Q20,S20)</f>
        <v>2.2149273196588635E-2</v>
      </c>
      <c r="J20" s="66">
        <f t="shared" si="30"/>
        <v>4.9154945893822612E-3</v>
      </c>
      <c r="K20" s="65">
        <f t="shared" si="3"/>
        <v>2.1902146681633611E-2</v>
      </c>
      <c r="L20" s="65">
        <f t="shared" si="4"/>
        <v>4.9033937022906291E-3</v>
      </c>
      <c r="M20" s="65">
        <f t="shared" si="5"/>
        <v>2.4528489682266151E-4</v>
      </c>
      <c r="N20" s="65">
        <f t="shared" si="6"/>
        <v>1.2081019083772208E-5</v>
      </c>
      <c r="O20" s="65">
        <f t="shared" si="7"/>
        <v>1.831317617213468E-6</v>
      </c>
      <c r="P20" s="65">
        <f t="shared" si="8"/>
        <v>1.9843538436693617E-8</v>
      </c>
      <c r="Q20" s="65">
        <f t="shared" si="9"/>
        <v>1.0254578222791442E-8</v>
      </c>
      <c r="R20" s="65">
        <f t="shared" si="10"/>
        <v>2.4445331243876316E-11</v>
      </c>
      <c r="S20" s="65">
        <f t="shared" si="11"/>
        <v>4.5936924775443115E-11</v>
      </c>
      <c r="T20" s="67">
        <f t="shared" si="12"/>
        <v>2.4091437987403814E-14</v>
      </c>
      <c r="U20" s="68"/>
      <c r="V20" s="62">
        <f t="shared" ref="V20:V35" si="31">ROUNDUP($F$3/$O$13,0)</f>
        <v>1978</v>
      </c>
      <c r="W20" s="63">
        <v>60</v>
      </c>
      <c r="X20" s="64">
        <f t="shared" si="13"/>
        <v>1.1314080000000001E-2</v>
      </c>
      <c r="Y20" s="65">
        <f t="shared" ref="Y20:Y35" si="32">V20/(839/$X20)</f>
        <v>2.6673718998808105E-2</v>
      </c>
      <c r="Z20" s="65">
        <f t="shared" ref="Z20:Z35" si="33">1*$Y20</f>
        <v>2.6673718998808105E-2</v>
      </c>
      <c r="AA20" s="65">
        <f t="shared" ref="AA20:AA35" si="34">1*($Y20*0.22)</f>
        <v>5.8682181797377834E-3</v>
      </c>
      <c r="AB20" s="65">
        <f t="shared" ref="AB20:AB35" si="35">EXP(-$Z20)</f>
        <v>0.97367888262205249</v>
      </c>
      <c r="AC20" s="65">
        <f t="shared" ref="AC20:AD33" si="36">SUM(AE20,AG20,AI20,AK20,AM20)</f>
        <v>2.6321117377458639E-2</v>
      </c>
      <c r="AD20" s="65">
        <f t="shared" si="36"/>
        <v>5.8510338177284304E-3</v>
      </c>
      <c r="AE20" s="65">
        <f t="shared" ref="AE20:AE35" si="37">EXP(-$Z20)*POWER($Z20,1)</f>
        <v>2.5971636910134089E-2</v>
      </c>
      <c r="AF20" s="65">
        <f t="shared" ref="AF20:AF35" si="38">EXP(-$AA20)*POWER($AA20,1)</f>
        <v>5.8338830367183287E-3</v>
      </c>
      <c r="AG20" s="65">
        <f t="shared" ref="AG20:AG35" si="39">EXP(-$Z20)*POWER($Z20,2)/FACT(2)</f>
        <v>3.4638007243999473E-4</v>
      </c>
      <c r="AH20" s="65">
        <f t="shared" ref="AH20:AH35" si="40">EXP(-$AA20)*POWER($AA20,2)/FACT(2)</f>
        <v>1.7117249247267179E-5</v>
      </c>
      <c r="AI20" s="65">
        <f t="shared" ref="AI20:AI35" si="41">EXP(-$Z20)*POWER($Z20,3)/FACT(3)</f>
        <v>3.0797482396837378E-6</v>
      </c>
      <c r="AJ20" s="65">
        <f t="shared" ref="AJ20:AJ35" si="42">EXP(-$AA20)*POWER($AA20,3)/FACT(3)</f>
        <v>3.3482584406638723E-8</v>
      </c>
      <c r="AK20" s="65">
        <f t="shared" ref="AK20:AK35" si="43">EXP(-$Z20)*POWER($Z20,4)/FACT(4)</f>
        <v>2.0537084783099487E-8</v>
      </c>
      <c r="AL20" s="65">
        <f t="shared" ref="AL20:AL35" si="44">EXP(-$AA20)*POWER($AA20,4)/FACT(4)</f>
        <v>4.9120777629910532E-11</v>
      </c>
      <c r="AM20" s="65">
        <f t="shared" ref="AM20:AM35" si="45">EXP(-$Z20)*POWER($Z20,5)/FACT(5)</f>
        <v>1.0956008571181872E-10</v>
      </c>
      <c r="AN20" s="65">
        <f t="shared" ref="AN20:AN35" si="46">EXP(-$AA20)*POWER($AA20,5)/FACT(5)</f>
        <v>5.7650288058139602E-14</v>
      </c>
      <c r="AO20" s="68"/>
      <c r="AP20" s="62">
        <f t="shared" ref="AP20:AP39" si="47">ROUNDUP($F$5/$O$13,0)</f>
        <v>813</v>
      </c>
      <c r="AQ20" s="63">
        <v>60</v>
      </c>
      <c r="AR20" s="64">
        <f t="shared" si="14"/>
        <v>1.1314080000000001E-2</v>
      </c>
      <c r="AS20" s="65">
        <f t="shared" si="15"/>
        <v>6.3088800000000002E-3</v>
      </c>
      <c r="AT20" s="65">
        <f t="shared" ref="AT20:AT39" si="48">1*AS20</f>
        <v>6.3088800000000002E-3</v>
      </c>
      <c r="AU20" s="65">
        <f t="shared" ref="AU20:AU39" si="49">1*($AS20-($AS20*0.78))</f>
        <v>1.3879536000000001E-3</v>
      </c>
      <c r="AV20" s="65">
        <f t="shared" si="16"/>
        <v>0.99371097919838003</v>
      </c>
      <c r="AW20" s="65">
        <f t="shared" ref="AW20:AX35" si="50">SUM(AY20,BA20,BC20,BE20,BG20)</f>
        <v>6.2890208016198306E-3</v>
      </c>
      <c r="AX20" s="65">
        <f t="shared" si="50"/>
        <v>1.3869908378766895E-3</v>
      </c>
      <c r="AY20" s="65">
        <f t="shared" si="17"/>
        <v>6.269203322445076E-3</v>
      </c>
      <c r="AZ20" s="65">
        <f t="shared" si="18"/>
        <v>1.3860285210734022E-3</v>
      </c>
      <c r="BA20" s="65">
        <f t="shared" si="19"/>
        <v>1.9775825728453647E-5</v>
      </c>
      <c r="BB20" s="65">
        <f t="shared" si="20"/>
        <v>9.6187163776325226E-7</v>
      </c>
      <c r="BC20" s="65">
        <f t="shared" si="21"/>
        <v>4.158777047390888E-8</v>
      </c>
      <c r="BD20" s="65">
        <f t="shared" si="22"/>
        <v>4.4501106745713395E-10</v>
      </c>
      <c r="BE20" s="65">
        <f t="shared" si="23"/>
        <v>6.5593063346858577E-11</v>
      </c>
      <c r="BF20" s="65">
        <f t="shared" si="24"/>
        <v>1.5441367827924298E-13</v>
      </c>
      <c r="BG20" s="65">
        <f t="shared" si="25"/>
        <v>8.2763753097545836E-14</v>
      </c>
      <c r="BH20" s="65">
        <f t="shared" si="26"/>
        <v>4.2863804131383427E-17</v>
      </c>
    </row>
    <row r="21" spans="1:60" x14ac:dyDescent="0.3">
      <c r="A21" s="69"/>
      <c r="B21" s="62">
        <f t="shared" si="0"/>
        <v>6917</v>
      </c>
      <c r="C21" s="63">
        <v>90</v>
      </c>
      <c r="D21" s="64">
        <f t="shared" si="27"/>
        <v>2.5456679999999999E-2</v>
      </c>
      <c r="E21" s="65">
        <f t="shared" si="1"/>
        <v>5.03960662736119E-2</v>
      </c>
      <c r="F21" s="65">
        <f t="shared" si="28"/>
        <v>5.03960662736119E-2</v>
      </c>
      <c r="G21" s="65">
        <f t="shared" si="29"/>
        <v>1.108713458019462E-2</v>
      </c>
      <c r="H21" s="65">
        <f t="shared" si="2"/>
        <v>0.95085274920631613</v>
      </c>
      <c r="I21" s="65">
        <f t="shared" si="30"/>
        <v>4.9147250771891901E-2</v>
      </c>
      <c r="J21" s="66">
        <f t="shared" si="30"/>
        <v>1.1025898822228092E-2</v>
      </c>
      <c r="K21" s="65">
        <f t="shared" si="3"/>
        <v>4.7919238165447582E-2</v>
      </c>
      <c r="L21" s="65">
        <f t="shared" si="4"/>
        <v>1.0964888956084939E-2</v>
      </c>
      <c r="M21" s="65">
        <f t="shared" si="5"/>
        <v>1.2074705511834446E-3</v>
      </c>
      <c r="N21" s="65">
        <f t="shared" si="6"/>
        <v>6.0784599756501718E-5</v>
      </c>
      <c r="O21" s="65">
        <f t="shared" si="7"/>
        <v>2.0283921973625187E-5</v>
      </c>
      <c r="P21" s="65">
        <f t="shared" si="8"/>
        <v>2.2464234596786655E-7</v>
      </c>
      <c r="Q21" s="65">
        <f t="shared" si="9"/>
        <v>2.5555746901789693E-7</v>
      </c>
      <c r="R21" s="65">
        <f t="shared" si="10"/>
        <v>6.2265998053909419E-10</v>
      </c>
      <c r="S21" s="65">
        <f t="shared" si="11"/>
        <v>2.5758182290684909E-9</v>
      </c>
      <c r="T21" s="67">
        <f t="shared" si="12"/>
        <v>1.3807030003876604E-12</v>
      </c>
      <c r="U21" s="68"/>
      <c r="V21" s="62">
        <f t="shared" si="31"/>
        <v>1978</v>
      </c>
      <c r="W21" s="63">
        <v>90</v>
      </c>
      <c r="X21" s="64">
        <f t="shared" si="13"/>
        <v>2.5456679999999999E-2</v>
      </c>
      <c r="Y21" s="65">
        <f t="shared" si="32"/>
        <v>6.0015867747318236E-2</v>
      </c>
      <c r="Z21" s="65">
        <f t="shared" si="33"/>
        <v>6.0015867747318236E-2</v>
      </c>
      <c r="AA21" s="65">
        <f t="shared" si="34"/>
        <v>1.3203490904410012E-2</v>
      </c>
      <c r="AB21" s="65">
        <f t="shared" si="35"/>
        <v>0.94174959002115721</v>
      </c>
      <c r="AC21" s="65">
        <f t="shared" si="36"/>
        <v>5.8250409917192561E-2</v>
      </c>
      <c r="AD21" s="65">
        <f t="shared" si="36"/>
        <v>1.3116707187594882E-2</v>
      </c>
      <c r="AE21" s="65">
        <f t="shared" si="37"/>
        <v>5.6519918845800939E-2</v>
      </c>
      <c r="AF21" s="65">
        <f t="shared" si="38"/>
        <v>1.3030304580362698E-2</v>
      </c>
      <c r="AG21" s="65">
        <f t="shared" si="39"/>
        <v>1.6960459872693745E-3</v>
      </c>
      <c r="AH21" s="65">
        <f t="shared" si="40"/>
        <v>8.60227540042555E-5</v>
      </c>
      <c r="AI21" s="65">
        <f t="shared" si="41"/>
        <v>3.3929890555109521E-5</v>
      </c>
      <c r="AJ21" s="65">
        <f t="shared" si="42"/>
        <v>3.7860021668916247E-7</v>
      </c>
      <c r="AK21" s="65">
        <f t="shared" si="43"/>
        <v>5.0908295605910874E-7</v>
      </c>
      <c r="AL21" s="65">
        <f t="shared" si="44"/>
        <v>1.2497111293657542E-9</v>
      </c>
      <c r="AM21" s="65">
        <f t="shared" si="45"/>
        <v>6.1106110726514587E-9</v>
      </c>
      <c r="AN21" s="65">
        <f t="shared" si="46"/>
        <v>3.3001099059441398E-12</v>
      </c>
      <c r="AO21" s="68"/>
      <c r="AP21" s="62">
        <f t="shared" si="47"/>
        <v>813</v>
      </c>
      <c r="AQ21" s="63">
        <v>90</v>
      </c>
      <c r="AR21" s="64">
        <f t="shared" si="14"/>
        <v>2.5456679999999999E-2</v>
      </c>
      <c r="AS21" s="65">
        <f t="shared" si="15"/>
        <v>1.4194979999999999E-2</v>
      </c>
      <c r="AT21" s="65">
        <f t="shared" si="48"/>
        <v>1.4194979999999999E-2</v>
      </c>
      <c r="AU21" s="65">
        <f t="shared" si="49"/>
        <v>3.1228955999999999E-3</v>
      </c>
      <c r="AV21" s="65">
        <f t="shared" si="16"/>
        <v>0.98590529370679736</v>
      </c>
      <c r="AW21" s="65">
        <f t="shared" si="50"/>
        <v>1.4094706293191464E-2</v>
      </c>
      <c r="AX21" s="65">
        <f t="shared" si="50"/>
        <v>3.1180244335698212E-3</v>
      </c>
      <c r="AY21" s="65">
        <f t="shared" si="17"/>
        <v>1.3994905926062114E-2</v>
      </c>
      <c r="AZ21" s="65">
        <f t="shared" si="18"/>
        <v>3.1131583352157124E-3</v>
      </c>
      <c r="BA21" s="65">
        <f t="shared" si="19"/>
        <v>9.9328704861166594E-5</v>
      </c>
      <c r="BB21" s="65">
        <f t="shared" si="20"/>
        <v>4.8610342335742364E-6</v>
      </c>
      <c r="BC21" s="65">
        <f t="shared" si="21"/>
        <v>4.6998965964338746E-7</v>
      </c>
      <c r="BD21" s="65">
        <f t="shared" si="22"/>
        <v>5.0601674731594515E-9</v>
      </c>
      <c r="BE21" s="65">
        <f t="shared" si="23"/>
        <v>1.6678734547111731E-9</v>
      </c>
      <c r="BF21" s="65">
        <f t="shared" si="24"/>
        <v>3.950593684298192E-12</v>
      </c>
      <c r="BG21" s="65">
        <f t="shared" si="25"/>
        <v>4.7350860664312012E-12</v>
      </c>
      <c r="BH21" s="65">
        <f t="shared" si="26"/>
        <v>2.4674583268165226E-15</v>
      </c>
    </row>
    <row r="22" spans="1:60" x14ac:dyDescent="0.3">
      <c r="A22" s="70"/>
      <c r="B22" s="62">
        <f t="shared" si="0"/>
        <v>6917</v>
      </c>
      <c r="C22" s="71">
        <v>120</v>
      </c>
      <c r="D22" s="64">
        <f t="shared" si="27"/>
        <v>4.5256320000000003E-2</v>
      </c>
      <c r="E22" s="65">
        <f t="shared" si="1"/>
        <v>8.9593006708643397E-2</v>
      </c>
      <c r="F22" s="65">
        <f t="shared" si="28"/>
        <v>8.9593006708643397E-2</v>
      </c>
      <c r="G22" s="65">
        <f t="shared" si="29"/>
        <v>1.9710461475901539E-2</v>
      </c>
      <c r="H22" s="65">
        <f t="shared" si="2"/>
        <v>0.91430322483606319</v>
      </c>
      <c r="I22" s="72">
        <f t="shared" si="30"/>
        <v>8.5696774498682404E-2</v>
      </c>
      <c r="J22" s="66">
        <f t="shared" si="30"/>
        <v>1.9517480325725929E-2</v>
      </c>
      <c r="K22" s="65">
        <f t="shared" si="3"/>
        <v>8.1915174956471701E-2</v>
      </c>
      <c r="L22" s="65">
        <f t="shared" si="4"/>
        <v>1.9325762931833072E-2</v>
      </c>
      <c r="M22" s="65">
        <f t="shared" si="5"/>
        <v>3.6695134097074335E-3</v>
      </c>
      <c r="N22" s="65">
        <f t="shared" si="6"/>
        <v>1.9045985288015086E-4</v>
      </c>
      <c r="O22" s="65">
        <f t="shared" si="7"/>
        <v>1.0958757984445833E-4</v>
      </c>
      <c r="P22" s="65">
        <f t="shared" si="8"/>
        <v>1.2513505309666962E-6</v>
      </c>
      <c r="Q22" s="65">
        <f t="shared" si="9"/>
        <v>2.4545701940471377E-6</v>
      </c>
      <c r="R22" s="65">
        <f t="shared" si="10"/>
        <v>6.1661741083670002E-9</v>
      </c>
      <c r="S22" s="65">
        <f t="shared" si="11"/>
        <v>4.3982464772420269E-8</v>
      </c>
      <c r="T22" s="67">
        <f t="shared" si="12"/>
        <v>2.4307627443333855E-11</v>
      </c>
      <c r="U22" s="38"/>
      <c r="V22" s="62">
        <f t="shared" si="31"/>
        <v>1978</v>
      </c>
      <c r="W22" s="73">
        <v>120</v>
      </c>
      <c r="X22" s="64">
        <f t="shared" si="13"/>
        <v>4.5256320000000003E-2</v>
      </c>
      <c r="Y22" s="65">
        <f t="shared" si="32"/>
        <v>0.10669487599523242</v>
      </c>
      <c r="Z22" s="65">
        <f t="shared" si="33"/>
        <v>0.10669487599523242</v>
      </c>
      <c r="AA22" s="65">
        <f t="shared" si="34"/>
        <v>2.3472872718951134E-2</v>
      </c>
      <c r="AB22" s="65">
        <f t="shared" si="35"/>
        <v>0.89879987657295513</v>
      </c>
      <c r="AC22" s="74">
        <f t="shared" si="36"/>
        <v>0.10120012155701093</v>
      </c>
      <c r="AD22" s="65">
        <f t="shared" si="36"/>
        <v>2.3199527749394398E-2</v>
      </c>
      <c r="AE22" s="65">
        <f t="shared" si="37"/>
        <v>9.5897341375481657E-2</v>
      </c>
      <c r="AF22" s="65">
        <f t="shared" si="38"/>
        <v>2.292831315694448E-2</v>
      </c>
      <c r="AG22" s="65">
        <f t="shared" si="39"/>
        <v>5.1158774731647431E-3</v>
      </c>
      <c r="AH22" s="65">
        <f t="shared" si="40"/>
        <v>2.690966881966052E-4</v>
      </c>
      <c r="AI22" s="65">
        <f t="shared" si="41"/>
        <v>1.8194597086870507E-4</v>
      </c>
      <c r="AJ22" s="65">
        <f t="shared" si="42"/>
        <v>2.1054907703767312E-6</v>
      </c>
      <c r="AK22" s="65">
        <f t="shared" si="43"/>
        <v>4.8531756999171643E-6</v>
      </c>
      <c r="AL22" s="65">
        <f t="shared" si="44"/>
        <v>1.2355479215994843E-8</v>
      </c>
      <c r="AM22" s="65">
        <f t="shared" si="45"/>
        <v>1.0356179589714744E-7</v>
      </c>
      <c r="AN22" s="65">
        <f t="shared" si="46"/>
        <v>5.8003718203738625E-11</v>
      </c>
      <c r="AO22" s="38"/>
      <c r="AP22" s="62">
        <f t="shared" si="47"/>
        <v>813</v>
      </c>
      <c r="AQ22" s="63">
        <v>120</v>
      </c>
      <c r="AR22" s="64">
        <f t="shared" si="14"/>
        <v>4.5256320000000003E-2</v>
      </c>
      <c r="AS22" s="65">
        <f t="shared" si="15"/>
        <v>2.5235520000000001E-2</v>
      </c>
      <c r="AT22" s="65">
        <f t="shared" si="48"/>
        <v>2.5235520000000001E-2</v>
      </c>
      <c r="AU22" s="65">
        <f t="shared" si="49"/>
        <v>5.5518144000000005E-3</v>
      </c>
      <c r="AV22" s="65">
        <f t="shared" si="16"/>
        <v>0.97508023408578792</v>
      </c>
      <c r="AW22" s="65">
        <f t="shared" si="50"/>
        <v>2.4919765913861018E-2</v>
      </c>
      <c r="AX22" s="65">
        <f t="shared" si="50"/>
        <v>5.5364315591587086E-3</v>
      </c>
      <c r="AY22" s="65">
        <f t="shared" si="17"/>
        <v>2.4606656748876583E-2</v>
      </c>
      <c r="AZ22" s="65">
        <f t="shared" si="18"/>
        <v>5.5210771595452486E-3</v>
      </c>
      <c r="BA22" s="65">
        <f t="shared" si="19"/>
        <v>3.1048088925970501E-4</v>
      </c>
      <c r="BB22" s="65">
        <f t="shared" si="20"/>
        <v>1.5325997838937207E-5</v>
      </c>
      <c r="BC22" s="65">
        <f t="shared" si="21"/>
        <v>2.611715563510357E-6</v>
      </c>
      <c r="BD22" s="65">
        <f t="shared" si="22"/>
        <v>2.8362365165526821E-8</v>
      </c>
      <c r="BE22" s="65">
        <f t="shared" si="23"/>
        <v>1.6477000084319224E-8</v>
      </c>
      <c r="BF22" s="65">
        <f t="shared" si="24"/>
        <v>3.936564683600755E-11</v>
      </c>
      <c r="BG22" s="65">
        <f t="shared" si="25"/>
        <v>8.3161133033567896E-11</v>
      </c>
      <c r="BH22" s="65">
        <f t="shared" si="26"/>
        <v>4.371015299389223E-14</v>
      </c>
    </row>
    <row r="23" spans="1:60" x14ac:dyDescent="0.3">
      <c r="A23" s="75"/>
      <c r="B23" s="62">
        <f t="shared" si="0"/>
        <v>6917</v>
      </c>
      <c r="C23" s="63">
        <v>150</v>
      </c>
      <c r="D23" s="64">
        <f t="shared" si="27"/>
        <v>7.0712999999999998E-2</v>
      </c>
      <c r="E23" s="65">
        <f t="shared" si="1"/>
        <v>0.1399890729822553</v>
      </c>
      <c r="F23" s="65">
        <f t="shared" si="28"/>
        <v>0.1399890729822553</v>
      </c>
      <c r="G23" s="65">
        <f t="shared" si="29"/>
        <v>3.0797596056096166E-2</v>
      </c>
      <c r="H23" s="65">
        <f t="shared" si="2"/>
        <v>0.86936773494357122</v>
      </c>
      <c r="I23" s="65">
        <f t="shared" si="30"/>
        <v>0.1306322557841457</v>
      </c>
      <c r="J23" s="66">
        <f t="shared" si="30"/>
        <v>3.0328181383545174E-2</v>
      </c>
      <c r="K23" s="65">
        <f t="shared" si="3"/>
        <v>0.12170198329543357</v>
      </c>
      <c r="L23" s="65">
        <f t="shared" si="4"/>
        <v>2.9863560976694178E-2</v>
      </c>
      <c r="M23" s="65">
        <f t="shared" si="5"/>
        <v>8.5184739108148319E-3</v>
      </c>
      <c r="N23" s="65">
        <f t="shared" si="6"/>
        <v>4.5986294387841196E-4</v>
      </c>
      <c r="O23" s="65">
        <f t="shared" si="7"/>
        <v>3.9749775533283178E-4</v>
      </c>
      <c r="P23" s="65">
        <f t="shared" si="8"/>
        <v>4.7208910622448509E-6</v>
      </c>
      <c r="Q23" s="65">
        <f t="shared" si="9"/>
        <v>1.3911335570392609E-5</v>
      </c>
      <c r="R23" s="65">
        <f t="shared" si="10"/>
        <v>3.6348023989962914E-8</v>
      </c>
      <c r="S23" s="65">
        <f t="shared" si="11"/>
        <v>3.8948699408886702E-7</v>
      </c>
      <c r="T23" s="67">
        <f t="shared" si="12"/>
        <v>2.2388635205603415E-10</v>
      </c>
      <c r="U23" s="76"/>
      <c r="V23" s="62">
        <f t="shared" si="31"/>
        <v>1978</v>
      </c>
      <c r="W23" s="63">
        <v>150</v>
      </c>
      <c r="X23" s="64">
        <f t="shared" si="13"/>
        <v>7.0712999999999998E-2</v>
      </c>
      <c r="Y23" s="65">
        <f t="shared" si="32"/>
        <v>0.16671074374255065</v>
      </c>
      <c r="Z23" s="65">
        <f t="shared" si="33"/>
        <v>0.16671074374255065</v>
      </c>
      <c r="AA23" s="65">
        <f t="shared" si="34"/>
        <v>3.6676363623361144E-2</v>
      </c>
      <c r="AB23" s="65">
        <f t="shared" si="35"/>
        <v>0.84644441527364711</v>
      </c>
      <c r="AC23" s="65">
        <f t="shared" si="36"/>
        <v>0.15355555887497149</v>
      </c>
      <c r="AD23" s="65">
        <f t="shared" si="36"/>
        <v>3.6011933521565842E-2</v>
      </c>
      <c r="AE23" s="65">
        <f t="shared" si="37"/>
        <v>0.14111137800699811</v>
      </c>
      <c r="AF23" s="65">
        <f t="shared" si="38"/>
        <v>3.535557685462374E-2</v>
      </c>
      <c r="AG23" s="65">
        <f t="shared" si="39"/>
        <v>1.176239138904143E-2</v>
      </c>
      <c r="AH23" s="65">
        <f t="shared" si="40"/>
        <v>6.4835699641693561E-4</v>
      </c>
      <c r="AI23" s="65">
        <f t="shared" si="41"/>
        <v>6.5363900555269027E-4</v>
      </c>
      <c r="AJ23" s="65">
        <f t="shared" si="42"/>
        <v>7.9264589861125973E-6</v>
      </c>
      <c r="AK23" s="65">
        <f t="shared" si="43"/>
        <v>2.7242161188707541E-5</v>
      </c>
      <c r="AL23" s="65">
        <f t="shared" si="44"/>
        <v>7.267842300508103E-8</v>
      </c>
      <c r="AM23" s="65">
        <f t="shared" si="45"/>
        <v>9.0831219058477642E-7</v>
      </c>
      <c r="AN23" s="65">
        <f t="shared" si="46"/>
        <v>5.3311605394136155E-10</v>
      </c>
      <c r="AO23" s="76"/>
      <c r="AP23" s="62">
        <f t="shared" si="47"/>
        <v>813</v>
      </c>
      <c r="AQ23" s="63">
        <v>150</v>
      </c>
      <c r="AR23" s="64">
        <f t="shared" si="14"/>
        <v>7.0712999999999998E-2</v>
      </c>
      <c r="AS23" s="65">
        <f t="shared" si="15"/>
        <v>3.94305E-2</v>
      </c>
      <c r="AT23" s="65">
        <f t="shared" si="48"/>
        <v>3.94305E-2</v>
      </c>
      <c r="AU23" s="65">
        <f t="shared" si="49"/>
        <v>8.6747099999999987E-3</v>
      </c>
      <c r="AV23" s="65">
        <f t="shared" si="16"/>
        <v>0.96133676457404149</v>
      </c>
      <c r="AW23" s="65">
        <f t="shared" si="50"/>
        <v>3.866323542091208E-2</v>
      </c>
      <c r="AX23" s="65">
        <f t="shared" si="50"/>
        <v>8.6371932638517369E-3</v>
      </c>
      <c r="AY23" s="65">
        <f t="shared" si="17"/>
        <v>3.7905989295536742E-2</v>
      </c>
      <c r="AZ23" s="65">
        <f t="shared" si="18"/>
        <v>8.5997848532221258E-3</v>
      </c>
      <c r="BA23" s="65">
        <f t="shared" si="19"/>
        <v>7.4732605545883076E-4</v>
      </c>
      <c r="BB23" s="65">
        <f t="shared" si="20"/>
        <v>3.7300319832047245E-5</v>
      </c>
      <c r="BC23" s="65">
        <f t="shared" si="21"/>
        <v>9.8224800099231433E-6</v>
      </c>
      <c r="BD23" s="65">
        <f t="shared" si="22"/>
        <v>1.0785648581675283E-7</v>
      </c>
      <c r="BE23" s="65">
        <f t="shared" si="23"/>
        <v>9.6826324507818613E-8</v>
      </c>
      <c r="BF23" s="65">
        <f t="shared" si="24"/>
        <v>2.3390593401986098E-10</v>
      </c>
      <c r="BG23" s="65">
        <f t="shared" si="25"/>
        <v>7.6358207770110846E-10</v>
      </c>
      <c r="BH23" s="65">
        <f t="shared" si="26"/>
        <v>4.0581322898028563E-13</v>
      </c>
    </row>
    <row r="24" spans="1:60" x14ac:dyDescent="0.3">
      <c r="A24" s="75"/>
      <c r="B24" s="62">
        <f t="shared" si="0"/>
        <v>6917</v>
      </c>
      <c r="C24" s="63">
        <v>180</v>
      </c>
      <c r="D24" s="64">
        <f t="shared" si="27"/>
        <v>0.10182672</v>
      </c>
      <c r="E24" s="65">
        <f t="shared" si="1"/>
        <v>0.2015842650944476</v>
      </c>
      <c r="F24" s="65">
        <f t="shared" si="28"/>
        <v>0.2015842650944476</v>
      </c>
      <c r="G24" s="65">
        <f t="shared" si="29"/>
        <v>4.434853832077848E-2</v>
      </c>
      <c r="H24" s="65">
        <f t="shared" si="2"/>
        <v>0.81743469344622832</v>
      </c>
      <c r="I24" s="65">
        <f t="shared" si="30"/>
        <v>0.18256522811991574</v>
      </c>
      <c r="J24" s="66">
        <f t="shared" si="30"/>
        <v>4.3379519524046548E-2</v>
      </c>
      <c r="K24" s="65">
        <f t="shared" si="3"/>
        <v>0.164781971941063</v>
      </c>
      <c r="L24" s="65">
        <f t="shared" si="4"/>
        <v>4.2424720036378191E-2</v>
      </c>
      <c r="M24" s="65">
        <f t="shared" si="5"/>
        <v>1.6608726357276535E-2</v>
      </c>
      <c r="N24" s="65">
        <f t="shared" si="6"/>
        <v>9.4073716114080846E-4</v>
      </c>
      <c r="O24" s="65">
        <f t="shared" si="7"/>
        <v>1.1160192989621241E-3</v>
      </c>
      <c r="P24" s="65">
        <f t="shared" si="8"/>
        <v>1.3906772680211169E-5</v>
      </c>
      <c r="Q24" s="65">
        <f t="shared" si="9"/>
        <v>5.6242982553125099E-5</v>
      </c>
      <c r="R24" s="65">
        <f t="shared" si="10"/>
        <v>1.5418626028167508E-7</v>
      </c>
      <c r="S24" s="65">
        <f t="shared" si="11"/>
        <v>2.2675400609383121E-6</v>
      </c>
      <c r="T24" s="67">
        <f t="shared" si="12"/>
        <v>1.3675870545278784E-9</v>
      </c>
      <c r="U24" s="76"/>
      <c r="V24" s="62">
        <f t="shared" si="31"/>
        <v>1978</v>
      </c>
      <c r="W24" s="63">
        <v>180</v>
      </c>
      <c r="X24" s="64">
        <f t="shared" si="13"/>
        <v>0.10182672</v>
      </c>
      <c r="Y24" s="65">
        <f t="shared" si="32"/>
        <v>0.24006347098927294</v>
      </c>
      <c r="Z24" s="65">
        <f t="shared" si="33"/>
        <v>0.24006347098927294</v>
      </c>
      <c r="AA24" s="65">
        <f t="shared" si="34"/>
        <v>5.2813963617640049E-2</v>
      </c>
      <c r="AB24" s="65">
        <f t="shared" si="35"/>
        <v>0.7865779346024796</v>
      </c>
      <c r="AC24" s="65">
        <f t="shared" si="36"/>
        <v>0.213421848899572</v>
      </c>
      <c r="AD24" s="65">
        <f t="shared" si="36"/>
        <v>5.1443537889755732E-2</v>
      </c>
      <c r="AE24" s="65">
        <f t="shared" si="37"/>
        <v>0.18882862918424459</v>
      </c>
      <c r="AF24" s="65">
        <f t="shared" si="38"/>
        <v>5.0097026477646349E-2</v>
      </c>
      <c r="AG24" s="65">
        <f t="shared" si="39"/>
        <v>2.2665428072058041E-2</v>
      </c>
      <c r="AH24" s="65">
        <f t="shared" si="40"/>
        <v>1.3229112668711825E-3</v>
      </c>
      <c r="AI24" s="65">
        <f t="shared" si="41"/>
        <v>1.813713778145319E-3</v>
      </c>
      <c r="AJ24" s="65">
        <f t="shared" si="42"/>
        <v>2.3289395839300238E-5</v>
      </c>
      <c r="AK24" s="65">
        <f t="shared" si="43"/>
        <v>1.0885160624065836E-4</v>
      </c>
      <c r="AL24" s="65">
        <f t="shared" si="44"/>
        <v>3.0750132613340516E-7</v>
      </c>
      <c r="AM24" s="65">
        <f t="shared" si="45"/>
        <v>5.2262588833780099E-6</v>
      </c>
      <c r="AN24" s="65">
        <f t="shared" si="46"/>
        <v>3.2480727701571454E-9</v>
      </c>
      <c r="AO24" s="76"/>
      <c r="AP24" s="62">
        <f t="shared" si="47"/>
        <v>813</v>
      </c>
      <c r="AQ24" s="63">
        <v>180</v>
      </c>
      <c r="AR24" s="64">
        <f t="shared" si="14"/>
        <v>0.10182672</v>
      </c>
      <c r="AS24" s="65">
        <f t="shared" si="15"/>
        <v>5.6779919999999998E-2</v>
      </c>
      <c r="AT24" s="65">
        <f t="shared" si="48"/>
        <v>5.6779919999999998E-2</v>
      </c>
      <c r="AU24" s="65">
        <f t="shared" si="49"/>
        <v>1.2491582399999999E-2</v>
      </c>
      <c r="AV24" s="65">
        <f t="shared" si="16"/>
        <v>0.94480197850679215</v>
      </c>
      <c r="AW24" s="65">
        <f t="shared" si="50"/>
        <v>5.5198021448876547E-2</v>
      </c>
      <c r="AX24" s="65">
        <f t="shared" si="50"/>
        <v>1.2413886436231916E-2</v>
      </c>
      <c r="AY24" s="65">
        <f t="shared" si="17"/>
        <v>5.3645780755457374E-2</v>
      </c>
      <c r="AZ24" s="65">
        <f t="shared" si="18"/>
        <v>1.2336513314677501E-2</v>
      </c>
      <c r="BA24" s="65">
        <f t="shared" si="19"/>
        <v>1.5230015698162046E-3</v>
      </c>
      <c r="BB24" s="65">
        <f t="shared" si="20"/>
        <v>7.7051286299495563E-5</v>
      </c>
      <c r="BC24" s="65">
        <f t="shared" si="21"/>
        <v>2.882530243134617E-5</v>
      </c>
      <c r="BD24" s="65">
        <f t="shared" si="22"/>
        <v>3.2083083061204667E-7</v>
      </c>
      <c r="BE24" s="65">
        <f t="shared" si="23"/>
        <v>4.0917459150691018E-7</v>
      </c>
      <c r="BF24" s="65">
        <f t="shared" si="24"/>
        <v>1.0019211892627059E-9</v>
      </c>
      <c r="BG24" s="65">
        <f t="shared" si="25"/>
        <v>4.6465801143590079E-9</v>
      </c>
      <c r="BH24" s="65">
        <f t="shared" si="26"/>
        <v>2.5031162187962167E-12</v>
      </c>
    </row>
    <row r="25" spans="1:60" x14ac:dyDescent="0.3">
      <c r="A25" s="75"/>
      <c r="B25" s="62">
        <f t="shared" si="0"/>
        <v>6917</v>
      </c>
      <c r="C25" s="63">
        <v>210</v>
      </c>
      <c r="D25" s="64">
        <f t="shared" si="27"/>
        <v>0.13859748</v>
      </c>
      <c r="E25" s="65">
        <f t="shared" si="1"/>
        <v>0.27437858304522039</v>
      </c>
      <c r="F25" s="65">
        <f t="shared" si="28"/>
        <v>0.27437858304522039</v>
      </c>
      <c r="G25" s="65">
        <f t="shared" si="29"/>
        <v>6.0363288269948467E-2</v>
      </c>
      <c r="H25" s="65">
        <f t="shared" si="2"/>
        <v>0.76004428090891951</v>
      </c>
      <c r="I25" s="65">
        <f t="shared" si="30"/>
        <v>0.23995525040229931</v>
      </c>
      <c r="J25" s="66">
        <f t="shared" si="30"/>
        <v>5.8577536221304453E-2</v>
      </c>
      <c r="K25" s="65">
        <f t="shared" si="3"/>
        <v>0.20853987284741279</v>
      </c>
      <c r="L25" s="65">
        <f t="shared" si="4"/>
        <v>5.682735556102711E-2</v>
      </c>
      <c r="M25" s="65">
        <f t="shared" si="5"/>
        <v>2.8609437410151779E-2</v>
      </c>
      <c r="N25" s="65">
        <f t="shared" si="6"/>
        <v>1.7151430226745692E-3</v>
      </c>
      <c r="O25" s="65">
        <f t="shared" si="7"/>
        <v>2.6166056327727883E-3</v>
      </c>
      <c r="P25" s="65">
        <f t="shared" si="8"/>
        <v>3.4510557567298592E-5</v>
      </c>
      <c r="Q25" s="65">
        <f t="shared" si="9"/>
        <v>1.7948513647708498E-4</v>
      </c>
      <c r="R25" s="65">
        <f t="shared" si="10"/>
        <v>5.2079268369787414E-7</v>
      </c>
      <c r="S25" s="65">
        <f t="shared" si="11"/>
        <v>9.8493754848521157E-6</v>
      </c>
      <c r="T25" s="67">
        <f t="shared" si="12"/>
        <v>6.2873517789869737E-9</v>
      </c>
      <c r="U25" s="76"/>
      <c r="V25" s="62">
        <f t="shared" si="31"/>
        <v>1978</v>
      </c>
      <c r="W25" s="63">
        <v>210</v>
      </c>
      <c r="X25" s="64">
        <f t="shared" si="13"/>
        <v>0.13859748</v>
      </c>
      <c r="Y25" s="65">
        <f t="shared" si="32"/>
        <v>0.32675305773539925</v>
      </c>
      <c r="Z25" s="65">
        <f t="shared" si="33"/>
        <v>0.32675305773539925</v>
      </c>
      <c r="AA25" s="65">
        <f t="shared" si="34"/>
        <v>7.1885672701787834E-2</v>
      </c>
      <c r="AB25" s="65">
        <f t="shared" si="35"/>
        <v>0.72126183106690378</v>
      </c>
      <c r="AC25" s="65">
        <f t="shared" si="36"/>
        <v>0.27873689040014138</v>
      </c>
      <c r="AD25" s="65">
        <f t="shared" si="36"/>
        <v>6.9362712843771768E-2</v>
      </c>
      <c r="AE25" s="65">
        <f t="shared" si="37"/>
        <v>0.2356745087289438</v>
      </c>
      <c r="AF25" s="65">
        <f t="shared" si="38"/>
        <v>6.6899487415637837E-2</v>
      </c>
      <c r="AG25" s="65">
        <f t="shared" si="39"/>
        <v>3.8503683178735218E-2</v>
      </c>
      <c r="AH25" s="65">
        <f t="shared" si="40"/>
        <v>2.4045573281389577E-3</v>
      </c>
      <c r="AI25" s="65">
        <f t="shared" si="41"/>
        <v>4.1937320709089301E-3</v>
      </c>
      <c r="AJ25" s="65">
        <f t="shared" si="42"/>
        <v>5.7617740361094189E-5</v>
      </c>
      <c r="AK25" s="65">
        <f t="shared" si="43"/>
        <v>3.4257869437312525E-4</v>
      </c>
      <c r="AL25" s="65">
        <f t="shared" si="44"/>
        <v>1.0354725063535518E-6</v>
      </c>
      <c r="AM25" s="65">
        <f t="shared" si="45"/>
        <v>2.2387727180283898E-5</v>
      </c>
      <c r="AN25" s="65">
        <f t="shared" si="46"/>
        <v>1.4887127536686268E-8</v>
      </c>
      <c r="AO25" s="76"/>
      <c r="AP25" s="62">
        <f t="shared" si="47"/>
        <v>813</v>
      </c>
      <c r="AQ25" s="63">
        <v>210</v>
      </c>
      <c r="AR25" s="64">
        <f t="shared" si="14"/>
        <v>0.13859748</v>
      </c>
      <c r="AS25" s="65">
        <f t="shared" si="15"/>
        <v>7.7283779999999996E-2</v>
      </c>
      <c r="AT25" s="65">
        <f t="shared" si="48"/>
        <v>7.7283779999999996E-2</v>
      </c>
      <c r="AU25" s="65">
        <f t="shared" si="49"/>
        <v>1.7002431599999999E-2</v>
      </c>
      <c r="AV25" s="65">
        <f t="shared" si="16"/>
        <v>0.92562714186177142</v>
      </c>
      <c r="AW25" s="65">
        <f t="shared" si="50"/>
        <v>7.4372857861248531E-2</v>
      </c>
      <c r="AX25" s="65">
        <f t="shared" si="50"/>
        <v>1.6858705974334351E-2</v>
      </c>
      <c r="AY25" s="65">
        <f t="shared" si="17"/>
        <v>7.1535964393673934E-2</v>
      </c>
      <c r="AZ25" s="65">
        <f t="shared" si="18"/>
        <v>1.6715792604806306E-2</v>
      </c>
      <c r="BA25" s="65">
        <f t="shared" si="19"/>
        <v>2.7642848671442645E-3</v>
      </c>
      <c r="BB25" s="65">
        <f t="shared" si="20"/>
        <v>1.4210456020150253E-4</v>
      </c>
      <c r="BC25" s="65">
        <f t="shared" si="21"/>
        <v>7.121146117656885E-5</v>
      </c>
      <c r="BD25" s="65">
        <f t="shared" si="22"/>
        <v>8.0537435495804295E-7</v>
      </c>
      <c r="BE25" s="65">
        <f t="shared" si="23"/>
        <v>1.3758727247621223E-6</v>
      </c>
      <c r="BF25" s="65">
        <f t="shared" si="24"/>
        <v>3.4233305956420616E-9</v>
      </c>
      <c r="BG25" s="65">
        <f t="shared" si="25"/>
        <v>2.1266528993703279E-8</v>
      </c>
      <c r="BH25" s="65">
        <f t="shared" si="26"/>
        <v>1.1640988859318282E-11</v>
      </c>
    </row>
    <row r="26" spans="1:60" x14ac:dyDescent="0.3">
      <c r="A26" s="75"/>
      <c r="B26" s="62">
        <f t="shared" si="0"/>
        <v>6917</v>
      </c>
      <c r="C26" s="63">
        <v>240</v>
      </c>
      <c r="D26" s="64">
        <f t="shared" si="27"/>
        <v>0.18102528000000001</v>
      </c>
      <c r="E26" s="65">
        <f t="shared" si="1"/>
        <v>0.35837202683457359</v>
      </c>
      <c r="F26" s="65">
        <f t="shared" si="28"/>
        <v>0.35837202683457359</v>
      </c>
      <c r="G26" s="65">
        <f t="shared" si="29"/>
        <v>7.8841845903606156E-2</v>
      </c>
      <c r="H26" s="65">
        <f t="shared" si="2"/>
        <v>0.69881304943453959</v>
      </c>
      <c r="I26" s="65">
        <f t="shared" si="30"/>
        <v>0.30118478434656726</v>
      </c>
      <c r="J26" s="66">
        <f t="shared" si="30"/>
        <v>7.5813922986843668E-2</v>
      </c>
      <c r="K26" s="65">
        <f t="shared" si="3"/>
        <v>0.25043504890430501</v>
      </c>
      <c r="L26" s="65">
        <f t="shared" si="4"/>
        <v>7.2864536245546466E-2</v>
      </c>
      <c r="M26" s="65">
        <f t="shared" si="5"/>
        <v>4.4874458033125675E-2</v>
      </c>
      <c r="N26" s="65">
        <f t="shared" si="6"/>
        <v>2.8723872692545498E-3</v>
      </c>
      <c r="O26" s="65">
        <f t="shared" si="7"/>
        <v>5.3605834928114214E-3</v>
      </c>
      <c r="P26" s="65">
        <f t="shared" si="8"/>
        <v>7.5488104819349089E-5</v>
      </c>
      <c r="Q26" s="65">
        <f t="shared" si="9"/>
        <v>4.8027079283369673E-4</v>
      </c>
      <c r="R26" s="65">
        <f t="shared" si="10"/>
        <v>1.4879053819305975E-6</v>
      </c>
      <c r="S26" s="65">
        <f t="shared" si="11"/>
        <v>3.4423123491451899E-5</v>
      </c>
      <c r="T26" s="67">
        <f t="shared" si="12"/>
        <v>2.3461841368263688E-8</v>
      </c>
      <c r="U26" s="76"/>
      <c r="V26" s="62">
        <f t="shared" si="31"/>
        <v>1978</v>
      </c>
      <c r="W26" s="63">
        <v>240</v>
      </c>
      <c r="X26" s="64">
        <f t="shared" si="13"/>
        <v>0.18102528000000001</v>
      </c>
      <c r="Y26" s="65">
        <f t="shared" si="32"/>
        <v>0.42677950398092968</v>
      </c>
      <c r="Z26" s="65">
        <f t="shared" si="33"/>
        <v>0.42677950398092968</v>
      </c>
      <c r="AA26" s="65">
        <f t="shared" si="34"/>
        <v>9.3891490875804534E-2</v>
      </c>
      <c r="AB26" s="65">
        <f t="shared" si="35"/>
        <v>0.65260743370581875</v>
      </c>
      <c r="AC26" s="65">
        <f t="shared" si="36"/>
        <v>0.34738673669888293</v>
      </c>
      <c r="AD26" s="65">
        <f t="shared" si="36"/>
        <v>8.9618457536781715E-2</v>
      </c>
      <c r="AE26" s="65">
        <f t="shared" si="37"/>
        <v>0.27851947685123679</v>
      </c>
      <c r="AF26" s="65">
        <f t="shared" si="38"/>
        <v>8.5477080205247774E-2</v>
      </c>
      <c r="AG26" s="65">
        <f t="shared" si="39"/>
        <v>5.9433202089799429E-2</v>
      </c>
      <c r="AH26" s="65">
        <f t="shared" si="40"/>
        <v>4.0127852480907169E-3</v>
      </c>
      <c r="AI26" s="65">
        <f t="shared" si="41"/>
        <v>8.4549575026276504E-3</v>
      </c>
      <c r="AJ26" s="65">
        <f t="shared" si="42"/>
        <v>1.2558879650255753E-4</v>
      </c>
      <c r="AK26" s="65">
        <f t="shared" si="43"/>
        <v>9.0210064228781731E-4</v>
      </c>
      <c r="AL26" s="65">
        <f t="shared" si="44"/>
        <v>2.9479298352307874E-6</v>
      </c>
      <c r="AM26" s="65">
        <f t="shared" si="45"/>
        <v>7.6999612931294545E-5</v>
      </c>
      <c r="AN26" s="65">
        <f t="shared" si="46"/>
        <v>5.5357105445416697E-8</v>
      </c>
      <c r="AO26" s="76"/>
      <c r="AP26" s="62">
        <f t="shared" si="47"/>
        <v>813</v>
      </c>
      <c r="AQ26" s="73">
        <v>240</v>
      </c>
      <c r="AR26" s="64">
        <f t="shared" si="14"/>
        <v>0.18102528000000001</v>
      </c>
      <c r="AS26" s="65">
        <f t="shared" si="15"/>
        <v>0.10094208</v>
      </c>
      <c r="AT26" s="65">
        <f t="shared" si="48"/>
        <v>0.10094208</v>
      </c>
      <c r="AU26" s="65">
        <f t="shared" si="49"/>
        <v>2.2207257600000002E-2</v>
      </c>
      <c r="AV26" s="65">
        <f t="shared" si="16"/>
        <v>0.90398539020338209</v>
      </c>
      <c r="AW26" s="74">
        <f t="shared" si="50"/>
        <v>9.6014608449023736E-2</v>
      </c>
      <c r="AX26" s="65">
        <f t="shared" si="50"/>
        <v>2.1962491662914845E-2</v>
      </c>
      <c r="AY26" s="65">
        <f t="shared" si="17"/>
        <v>9.125016557674101E-2</v>
      </c>
      <c r="AZ26" s="65">
        <f t="shared" si="18"/>
        <v>2.1719530890100171E-2</v>
      </c>
      <c r="BA26" s="65">
        <f t="shared" si="19"/>
        <v>4.6054907568303192E-3</v>
      </c>
      <c r="BB26" s="65">
        <f t="shared" si="20"/>
        <v>2.411656087138059E-4</v>
      </c>
      <c r="BC26" s="65">
        <f t="shared" si="21"/>
        <v>1.5496260547174221E-4</v>
      </c>
      <c r="BD26" s="65">
        <f t="shared" si="22"/>
        <v>1.7852089323227639E-6</v>
      </c>
      <c r="BE26" s="65">
        <f t="shared" si="23"/>
        <v>3.9105619296342605E-6</v>
      </c>
      <c r="BF26" s="65">
        <f t="shared" si="24"/>
        <v>9.9111486574781483E-9</v>
      </c>
      <c r="BG26" s="65">
        <f t="shared" si="25"/>
        <v>7.8948051029219182E-8</v>
      </c>
      <c r="BH26" s="65">
        <f t="shared" si="26"/>
        <v>4.4019886269702283E-11</v>
      </c>
    </row>
    <row r="27" spans="1:60" x14ac:dyDescent="0.3">
      <c r="A27" s="75"/>
      <c r="B27" s="62">
        <f t="shared" si="0"/>
        <v>6917</v>
      </c>
      <c r="C27" s="73">
        <v>270</v>
      </c>
      <c r="D27" s="64">
        <f t="shared" si="27"/>
        <v>0.22911012</v>
      </c>
      <c r="E27" s="65">
        <f t="shared" si="1"/>
        <v>0.45356459646250719</v>
      </c>
      <c r="F27" s="65">
        <f t="shared" si="28"/>
        <v>0.45356459646250719</v>
      </c>
      <c r="G27" s="65">
        <f t="shared" si="29"/>
        <v>9.9784211221751573E-2</v>
      </c>
      <c r="H27" s="65">
        <f t="shared" si="2"/>
        <v>0.63535931072162033</v>
      </c>
      <c r="I27" s="65">
        <f t="shared" si="30"/>
        <v>0.36463247891598832</v>
      </c>
      <c r="J27" s="77">
        <f t="shared" si="30"/>
        <v>9.4967305876074978E-2</v>
      </c>
      <c r="K27" s="65">
        <f t="shared" si="3"/>
        <v>0.28817648937614843</v>
      </c>
      <c r="L27" s="65">
        <f t="shared" si="4"/>
        <v>9.0307973387452903E-2</v>
      </c>
      <c r="M27" s="65">
        <f t="shared" si="5"/>
        <v>6.5353326556937374E-2</v>
      </c>
      <c r="N27" s="65">
        <f t="shared" si="6"/>
        <v>4.5056549457509597E-3</v>
      </c>
      <c r="O27" s="65">
        <f t="shared" si="7"/>
        <v>9.88065172909325E-3</v>
      </c>
      <c r="P27" s="65">
        <f t="shared" si="8"/>
        <v>1.4986440826638114E-4</v>
      </c>
      <c r="Q27" s="65">
        <f t="shared" si="9"/>
        <v>1.1203784535731886E-3</v>
      </c>
      <c r="R27" s="65">
        <f t="shared" si="10"/>
        <v>3.7385254422688462E-6</v>
      </c>
      <c r="S27" s="65">
        <f t="shared" si="11"/>
        <v>1.0163280023604222E-4</v>
      </c>
      <c r="T27" s="67">
        <f t="shared" si="12"/>
        <v>7.4609162477849344E-8</v>
      </c>
      <c r="U27" s="76"/>
      <c r="V27" s="62">
        <f t="shared" si="31"/>
        <v>1978</v>
      </c>
      <c r="W27" s="73">
        <v>270</v>
      </c>
      <c r="X27" s="64">
        <f t="shared" si="13"/>
        <v>0.22911012</v>
      </c>
      <c r="Y27" s="65">
        <f t="shared" si="32"/>
        <v>0.54014280972586415</v>
      </c>
      <c r="Z27" s="65">
        <f t="shared" si="33"/>
        <v>0.54014280972586415</v>
      </c>
      <c r="AA27" s="65">
        <f t="shared" si="34"/>
        <v>0.11883141813969011</v>
      </c>
      <c r="AB27" s="65">
        <f t="shared" si="35"/>
        <v>0.58266503619800136</v>
      </c>
      <c r="AC27" s="65">
        <f t="shared" si="36"/>
        <v>0.41731320436602154</v>
      </c>
      <c r="AD27" s="74">
        <f t="shared" si="36"/>
        <v>0.11204251479863381</v>
      </c>
      <c r="AE27" s="65">
        <f t="shared" si="37"/>
        <v>0.31472232978101078</v>
      </c>
      <c r="AF27" s="65">
        <f t="shared" si="38"/>
        <v>0.1055172467944738</v>
      </c>
      <c r="AG27" s="65">
        <f t="shared" si="39"/>
        <v>8.499750174569258E-2</v>
      </c>
      <c r="AH27" s="65">
        <f t="shared" si="40"/>
        <v>6.2693820373914957E-3</v>
      </c>
      <c r="AI27" s="65">
        <f t="shared" si="41"/>
        <v>1.5303596470865813E-2</v>
      </c>
      <c r="AJ27" s="65">
        <f t="shared" si="42"/>
        <v>2.483331861209104E-4</v>
      </c>
      <c r="AK27" s="65">
        <f t="shared" si="43"/>
        <v>2.0665318991710696E-3</v>
      </c>
      <c r="AL27" s="65">
        <f t="shared" si="44"/>
        <v>7.377446169473848E-6</v>
      </c>
      <c r="AM27" s="65">
        <f t="shared" si="45"/>
        <v>2.2324446928127751E-4</v>
      </c>
      <c r="AN27" s="65">
        <f t="shared" si="46"/>
        <v>1.7533447811356037E-7</v>
      </c>
      <c r="AO27" s="76"/>
      <c r="AP27" s="62">
        <f t="shared" si="47"/>
        <v>813</v>
      </c>
      <c r="AQ27" s="63">
        <v>270</v>
      </c>
      <c r="AR27" s="64">
        <f t="shared" si="14"/>
        <v>0.22911012</v>
      </c>
      <c r="AS27" s="65">
        <f t="shared" si="15"/>
        <v>0.12775482000000002</v>
      </c>
      <c r="AT27" s="65">
        <f t="shared" si="48"/>
        <v>0.12775482000000002</v>
      </c>
      <c r="AU27" s="65">
        <f t="shared" si="49"/>
        <v>2.8106060400000007E-2</v>
      </c>
      <c r="AV27" s="65">
        <f t="shared" si="16"/>
        <v>0.88006912804371928</v>
      </c>
      <c r="AW27" s="65">
        <f t="shared" si="50"/>
        <v>0.1199308665433952</v>
      </c>
      <c r="AX27" s="65">
        <f t="shared" si="50"/>
        <v>2.7714759628311159E-2</v>
      </c>
      <c r="AY27" s="65">
        <f t="shared" si="17"/>
        <v>0.11243307304078233</v>
      </c>
      <c r="AZ27" s="65">
        <f t="shared" si="18"/>
        <v>2.7327107691896429E-2</v>
      </c>
      <c r="BA27" s="65">
        <f t="shared" si="19"/>
        <v>7.1819335041860008E-3</v>
      </c>
      <c r="BB27" s="65">
        <f t="shared" si="20"/>
        <v>3.8402866967287289E-4</v>
      </c>
      <c r="BC27" s="65">
        <f t="shared" si="21"/>
        <v>3.0584220735975064E-4</v>
      </c>
      <c r="BD27" s="65">
        <f t="shared" si="22"/>
        <v>3.5978443283858053E-6</v>
      </c>
      <c r="BE27" s="65">
        <f t="shared" si="23"/>
        <v>9.7682040374119071E-6</v>
      </c>
      <c r="BF27" s="65">
        <f t="shared" si="24"/>
        <v>2.5280307500852227E-8</v>
      </c>
      <c r="BG27" s="65">
        <f t="shared" si="25"/>
        <v>2.4958702970456632E-7</v>
      </c>
      <c r="BH27" s="65">
        <f t="shared" si="26"/>
        <v>1.4210596990990519E-10</v>
      </c>
    </row>
    <row r="28" spans="1:60" x14ac:dyDescent="0.3">
      <c r="A28" s="69"/>
      <c r="B28" s="62">
        <f t="shared" si="0"/>
        <v>6917</v>
      </c>
      <c r="C28" s="63">
        <v>300</v>
      </c>
      <c r="D28" s="64">
        <f t="shared" si="27"/>
        <v>0.28285199999999999</v>
      </c>
      <c r="E28" s="65">
        <f t="shared" si="1"/>
        <v>0.55995629192902119</v>
      </c>
      <c r="F28" s="65">
        <f t="shared" si="28"/>
        <v>0.55995629192902119</v>
      </c>
      <c r="G28" s="65">
        <f t="shared" si="29"/>
        <v>0.12319038422438466</v>
      </c>
      <c r="H28" s="65">
        <f t="shared" si="2"/>
        <v>0.57123403084074686</v>
      </c>
      <c r="I28" s="65">
        <f t="shared" si="30"/>
        <v>0.428739409598066</v>
      </c>
      <c r="J28" s="66">
        <f t="shared" si="30"/>
        <v>0.11590466689777823</v>
      </c>
      <c r="K28" s="65">
        <f t="shared" si="3"/>
        <v>0.31986608973325276</v>
      </c>
      <c r="L28" s="65">
        <f t="shared" si="4"/>
        <v>0.10891204323770463</v>
      </c>
      <c r="M28" s="65">
        <f t="shared" si="5"/>
        <v>8.9555514760433871E-2</v>
      </c>
      <c r="N28" s="65">
        <f t="shared" si="6"/>
        <v>6.7084582265578147E-3</v>
      </c>
      <c r="O28" s="65">
        <f t="shared" si="7"/>
        <v>1.6715724655682426E-2</v>
      </c>
      <c r="P28" s="65">
        <f t="shared" si="8"/>
        <v>2.7547251549429712E-4</v>
      </c>
      <c r="Q28" s="65">
        <f t="shared" si="9"/>
        <v>2.3400187987756113E-3</v>
      </c>
      <c r="R28" s="65">
        <f t="shared" si="10"/>
        <v>8.4838912567500543E-6</v>
      </c>
      <c r="S28" s="65">
        <f t="shared" si="11"/>
        <v>2.6206164992131876E-4</v>
      </c>
      <c r="T28" s="67">
        <f t="shared" si="12"/>
        <v>2.090267647273874E-7</v>
      </c>
      <c r="U28" s="76"/>
      <c r="V28" s="62">
        <f t="shared" si="31"/>
        <v>1978</v>
      </c>
      <c r="W28" s="63">
        <v>300</v>
      </c>
      <c r="X28" s="64">
        <f t="shared" si="13"/>
        <v>0.28285199999999999</v>
      </c>
      <c r="Y28" s="65">
        <f t="shared" si="32"/>
        <v>0.66684297497020262</v>
      </c>
      <c r="Z28" s="65">
        <f t="shared" si="33"/>
        <v>0.66684297497020262</v>
      </c>
      <c r="AA28" s="65">
        <f t="shared" si="34"/>
        <v>0.14670545449344458</v>
      </c>
      <c r="AB28" s="65">
        <f t="shared" si="35"/>
        <v>0.51332660731054758</v>
      </c>
      <c r="AC28" s="65">
        <f t="shared" si="36"/>
        <v>0.48660419261429066</v>
      </c>
      <c r="AD28" s="65">
        <f t="shared" si="36"/>
        <v>0.13645169355716577</v>
      </c>
      <c r="AE28" s="65">
        <f t="shared" si="37"/>
        <v>0.3423082419503265</v>
      </c>
      <c r="AF28" s="65">
        <f t="shared" si="38"/>
        <v>0.12668724498209533</v>
      </c>
      <c r="AG28" s="65">
        <f t="shared" si="39"/>
        <v>0.11413292320948783</v>
      </c>
      <c r="AH28" s="65">
        <f t="shared" si="40"/>
        <v>9.2928549268103261E-3</v>
      </c>
      <c r="AI28" s="65">
        <f t="shared" si="41"/>
        <v>2.536957935168685E-2</v>
      </c>
      <c r="AJ28" s="65">
        <f t="shared" si="42"/>
        <v>4.5443750185978488E-4</v>
      </c>
      <c r="AK28" s="65">
        <f t="shared" si="43"/>
        <v>4.2293814421553704E-3</v>
      </c>
      <c r="AL28" s="65">
        <f t="shared" si="44"/>
        <v>1.6667115062301326E-5</v>
      </c>
      <c r="AM28" s="65">
        <f t="shared" si="45"/>
        <v>5.6406666063413063E-4</v>
      </c>
      <c r="AN28" s="65">
        <f t="shared" si="46"/>
        <v>4.8903133806189033E-7</v>
      </c>
      <c r="AO28" s="76"/>
      <c r="AP28" s="62">
        <f t="shared" si="47"/>
        <v>813</v>
      </c>
      <c r="AQ28" s="63">
        <v>300</v>
      </c>
      <c r="AR28" s="64">
        <f t="shared" si="14"/>
        <v>0.28285199999999999</v>
      </c>
      <c r="AS28" s="65">
        <f t="shared" si="15"/>
        <v>0.157722</v>
      </c>
      <c r="AT28" s="65">
        <f t="shared" si="48"/>
        <v>0.157722</v>
      </c>
      <c r="AU28" s="65">
        <f t="shared" si="49"/>
        <v>3.4698839999999995E-2</v>
      </c>
      <c r="AV28" s="65">
        <f t="shared" si="16"/>
        <v>0.85408718520538995</v>
      </c>
      <c r="AW28" s="65">
        <f t="shared" si="50"/>
        <v>0.14591279611395347</v>
      </c>
      <c r="AX28" s="65">
        <f t="shared" si="50"/>
        <v>3.4103738219600041E-2</v>
      </c>
      <c r="AY28" s="65">
        <f t="shared" si="17"/>
        <v>0.13470833902496451</v>
      </c>
      <c r="AZ28" s="65">
        <f t="shared" si="18"/>
        <v>3.3515479844034558E-2</v>
      </c>
      <c r="BA28" s="65">
        <f t="shared" si="19"/>
        <v>1.0623234323847727E-2</v>
      </c>
      <c r="BB28" s="65">
        <f t="shared" si="20"/>
        <v>5.8147413631568997E-4</v>
      </c>
      <c r="BC28" s="65">
        <f t="shared" si="21"/>
        <v>5.5850592134197043E-4</v>
      </c>
      <c r="BD28" s="65">
        <f t="shared" si="22"/>
        <v>6.7254926733854366E-6</v>
      </c>
      <c r="BE28" s="65">
        <f t="shared" si="23"/>
        <v>2.202216773147456E-5</v>
      </c>
      <c r="BF28" s="65">
        <f t="shared" si="24"/>
        <v>5.8341698548743383E-8</v>
      </c>
      <c r="BG28" s="65">
        <f t="shared" si="25"/>
        <v>6.9467606778872616E-7</v>
      </c>
      <c r="BH28" s="65">
        <f t="shared" si="26"/>
        <v>4.0487785265421573E-10</v>
      </c>
    </row>
    <row r="29" spans="1:60" x14ac:dyDescent="0.3">
      <c r="A29" s="70"/>
      <c r="B29" s="62">
        <f t="shared" si="0"/>
        <v>6917</v>
      </c>
      <c r="C29" s="63">
        <v>330</v>
      </c>
      <c r="D29" s="64">
        <f t="shared" si="27"/>
        <v>0.34225091999999996</v>
      </c>
      <c r="E29" s="65">
        <f t="shared" si="1"/>
        <v>0.67754711323411554</v>
      </c>
      <c r="F29" s="65">
        <f t="shared" si="28"/>
        <v>0.67754711323411554</v>
      </c>
      <c r="G29" s="65">
        <f t="shared" si="29"/>
        <v>0.14906036491150543</v>
      </c>
      <c r="H29" s="65">
        <f t="shared" si="2"/>
        <v>0.50786119179786982</v>
      </c>
      <c r="I29" s="65">
        <f t="shared" si="30"/>
        <v>0.49206335669665741</v>
      </c>
      <c r="J29" s="66">
        <f t="shared" si="30"/>
        <v>0.13848287866476125</v>
      </c>
      <c r="K29" s="65">
        <f t="shared" si="3"/>
        <v>0.3440998844262842</v>
      </c>
      <c r="L29" s="65">
        <f t="shared" si="4"/>
        <v>0.12841805448484936</v>
      </c>
      <c r="M29" s="65">
        <f t="shared" si="5"/>
        <v>0.1165719416786108</v>
      </c>
      <c r="N29" s="65">
        <f t="shared" si="6"/>
        <v>9.571021031368615E-3</v>
      </c>
      <c r="O29" s="65">
        <f t="shared" si="7"/>
        <v>2.6327660856146146E-2</v>
      </c>
      <c r="P29" s="65">
        <f t="shared" si="8"/>
        <v>4.7555329583716627E-4</v>
      </c>
      <c r="Q29" s="65">
        <f t="shared" si="9"/>
        <v>4.4595576528221603E-3</v>
      </c>
      <c r="R29" s="65">
        <f t="shared" si="10"/>
        <v>1.7721536953089277E-5</v>
      </c>
      <c r="S29" s="65">
        <f t="shared" si="11"/>
        <v>6.0431208279415258E-4</v>
      </c>
      <c r="T29" s="67">
        <f t="shared" si="12"/>
        <v>5.2831575300404306E-7</v>
      </c>
      <c r="U29" s="76"/>
      <c r="V29" s="62">
        <f t="shared" si="31"/>
        <v>1978</v>
      </c>
      <c r="W29" s="63">
        <v>330</v>
      </c>
      <c r="X29" s="64">
        <f t="shared" si="13"/>
        <v>0.34225091999999996</v>
      </c>
      <c r="Y29" s="65">
        <f t="shared" si="32"/>
        <v>0.80687999971394508</v>
      </c>
      <c r="Z29" s="65">
        <f t="shared" si="33"/>
        <v>0.80687999971394508</v>
      </c>
      <c r="AA29" s="65">
        <f t="shared" si="34"/>
        <v>0.17751359993706792</v>
      </c>
      <c r="AB29" s="65">
        <f t="shared" si="35"/>
        <v>0.44624819098396734</v>
      </c>
      <c r="AC29" s="65">
        <f t="shared" si="36"/>
        <v>0.55355887118378788</v>
      </c>
      <c r="AD29" s="65">
        <f t="shared" si="36"/>
        <v>0.16265035131153943</v>
      </c>
      <c r="AE29" s="65">
        <f t="shared" si="37"/>
        <v>0.36006874021349206</v>
      </c>
      <c r="AF29" s="65">
        <f t="shared" si="38"/>
        <v>0.14864094391776114</v>
      </c>
      <c r="AG29" s="65">
        <f t="shared" si="39"/>
        <v>0.14526613250023152</v>
      </c>
      <c r="AH29" s="65">
        <f t="shared" si="40"/>
        <v>1.3192894526442801E-2</v>
      </c>
      <c r="AI29" s="65">
        <f t="shared" si="41"/>
        <v>3.9070778983410902E-2</v>
      </c>
      <c r="AJ29" s="65">
        <f t="shared" si="42"/>
        <v>7.8063940032630007E-4</v>
      </c>
      <c r="AK29" s="65">
        <f t="shared" si="43"/>
        <v>7.8813575337395494E-3</v>
      </c>
      <c r="AL29" s="65">
        <f t="shared" si="44"/>
        <v>3.4643527551158859E-5</v>
      </c>
      <c r="AM29" s="65">
        <f t="shared" si="45"/>
        <v>1.2718619529138535E-3</v>
      </c>
      <c r="AN29" s="65">
        <f t="shared" si="46"/>
        <v>1.2299394580250407E-6</v>
      </c>
      <c r="AO29" s="76"/>
      <c r="AP29" s="62">
        <f t="shared" si="47"/>
        <v>813</v>
      </c>
      <c r="AQ29" s="63">
        <v>330</v>
      </c>
      <c r="AR29" s="64">
        <f t="shared" si="14"/>
        <v>0.34225091999999996</v>
      </c>
      <c r="AS29" s="65">
        <f t="shared" si="15"/>
        <v>0.19084361999999996</v>
      </c>
      <c r="AT29" s="65">
        <f t="shared" si="48"/>
        <v>0.19084361999999996</v>
      </c>
      <c r="AU29" s="65">
        <f t="shared" si="49"/>
        <v>4.1985596399999991E-2</v>
      </c>
      <c r="AV29" s="65">
        <f t="shared" si="16"/>
        <v>0.82626178886726964</v>
      </c>
      <c r="AW29" s="65">
        <f t="shared" si="50"/>
        <v>0.17373815414076088</v>
      </c>
      <c r="AX29" s="65">
        <f t="shared" si="50"/>
        <v>4.1116408143939021E-2</v>
      </c>
      <c r="AY29" s="65">
        <f t="shared" si="17"/>
        <v>0.1576867908551054</v>
      </c>
      <c r="AZ29" s="65">
        <f t="shared" si="18"/>
        <v>4.0259299481942755E-2</v>
      </c>
      <c r="BA29" s="65">
        <f t="shared" si="19"/>
        <v>1.5046758996485604E-2</v>
      </c>
      <c r="BB29" s="65">
        <f t="shared" si="20"/>
        <v>8.4515534969778862E-4</v>
      </c>
      <c r="BC29" s="65">
        <f t="shared" si="21"/>
        <v>9.5719265205229317E-4</v>
      </c>
      <c r="BD29" s="65">
        <f t="shared" si="22"/>
        <v>1.1828117135904069E-5</v>
      </c>
      <c r="BE29" s="65">
        <f t="shared" si="23"/>
        <v>4.5668527688765009E-5</v>
      </c>
      <c r="BF29" s="65">
        <f t="shared" si="24"/>
        <v>1.2415263805999801E-7</v>
      </c>
      <c r="BG29" s="65">
        <f t="shared" si="25"/>
        <v>1.7431094288388294E-6</v>
      </c>
      <c r="BH29" s="65">
        <f t="shared" si="26"/>
        <v>1.0425245107164708E-9</v>
      </c>
    </row>
    <row r="30" spans="1:60" x14ac:dyDescent="0.3">
      <c r="A30" s="69"/>
      <c r="B30" s="62">
        <f t="shared" si="0"/>
        <v>6917</v>
      </c>
      <c r="C30" s="63">
        <v>360</v>
      </c>
      <c r="D30" s="64">
        <f t="shared" si="27"/>
        <v>0.40730687999999998</v>
      </c>
      <c r="E30" s="65">
        <f t="shared" si="1"/>
        <v>0.8063370603777904</v>
      </c>
      <c r="F30" s="65">
        <f t="shared" si="28"/>
        <v>0.8063370603777904</v>
      </c>
      <c r="G30" s="65">
        <f t="shared" si="29"/>
        <v>0.17739415328311392</v>
      </c>
      <c r="H30" s="65">
        <f t="shared" si="2"/>
        <v>0.44649054246566328</v>
      </c>
      <c r="I30" s="65">
        <f t="shared" si="30"/>
        <v>0.55331720927244799</v>
      </c>
      <c r="J30" s="66">
        <f t="shared" si="30"/>
        <v>0.1625503268752653</v>
      </c>
      <c r="K30" s="65">
        <f t="shared" si="3"/>
        <v>0.36002187149824794</v>
      </c>
      <c r="L30" s="65">
        <f t="shared" si="4"/>
        <v>0.14855866908469456</v>
      </c>
      <c r="M30" s="65">
        <f t="shared" si="5"/>
        <v>0.14514948876780392</v>
      </c>
      <c r="N30" s="65">
        <f t="shared" si="6"/>
        <v>1.3176719657572852E-2</v>
      </c>
      <c r="O30" s="65">
        <f t="shared" si="7"/>
        <v>3.9013137362790037E-2</v>
      </c>
      <c r="P30" s="65">
        <f t="shared" si="8"/>
        <v>7.7915767556803299E-4</v>
      </c>
      <c r="Q30" s="65">
        <f t="shared" si="9"/>
        <v>7.864434624306766E-3</v>
      </c>
      <c r="R30" s="65">
        <f t="shared" si="10"/>
        <v>3.4554504032857601E-5</v>
      </c>
      <c r="S30" s="65">
        <f t="shared" si="11"/>
        <v>1.2682770192993661E-3</v>
      </c>
      <c r="T30" s="67">
        <f t="shared" si="12"/>
        <v>1.225953397005344E-6</v>
      </c>
      <c r="U30" s="76"/>
      <c r="V30" s="62">
        <f t="shared" si="31"/>
        <v>1978</v>
      </c>
      <c r="W30" s="63">
        <v>360</v>
      </c>
      <c r="X30" s="64">
        <f t="shared" si="13"/>
        <v>0.40730687999999998</v>
      </c>
      <c r="Y30" s="65">
        <f t="shared" si="32"/>
        <v>0.96025388395709177</v>
      </c>
      <c r="Z30" s="65">
        <f t="shared" si="33"/>
        <v>0.96025388395709177</v>
      </c>
      <c r="AA30" s="65">
        <f t="shared" si="34"/>
        <v>0.21125585447056019</v>
      </c>
      <c r="AB30" s="65">
        <f t="shared" si="35"/>
        <v>0.3827956879531097</v>
      </c>
      <c r="AC30" s="65">
        <f t="shared" si="36"/>
        <v>0.6167226377936087</v>
      </c>
      <c r="AD30" s="65">
        <f t="shared" si="36"/>
        <v>0.19043298788600518</v>
      </c>
      <c r="AE30" s="65">
        <f t="shared" si="37"/>
        <v>0.3675810461190005</v>
      </c>
      <c r="AF30" s="65">
        <f t="shared" si="38"/>
        <v>0.17102574912633037</v>
      </c>
      <c r="AG30" s="65">
        <f t="shared" si="39"/>
        <v>0.17648556360239057</v>
      </c>
      <c r="AH30" s="65">
        <f t="shared" si="40"/>
        <v>1.8065095384075292E-2</v>
      </c>
      <c r="AI30" s="65">
        <f t="shared" si="41"/>
        <v>5.6490315970517291E-2</v>
      </c>
      <c r="AJ30" s="65">
        <f t="shared" si="42"/>
        <v>1.2721190538183328E-3</v>
      </c>
      <c r="AK30" s="65">
        <f t="shared" si="43"/>
        <v>1.3561261329163139E-2</v>
      </c>
      <c r="AL30" s="65">
        <f t="shared" si="44"/>
        <v>6.7185649425668124E-5</v>
      </c>
      <c r="AM30" s="65">
        <f t="shared" si="45"/>
        <v>2.6044507725372034E-3</v>
      </c>
      <c r="AN30" s="65">
        <f t="shared" si="46"/>
        <v>2.8386723555158039E-6</v>
      </c>
      <c r="AO30" s="76"/>
      <c r="AP30" s="62">
        <f t="shared" si="47"/>
        <v>813</v>
      </c>
      <c r="AQ30" s="63">
        <v>360</v>
      </c>
      <c r="AR30" s="64">
        <f t="shared" si="14"/>
        <v>0.40730687999999998</v>
      </c>
      <c r="AS30" s="65">
        <f t="shared" si="15"/>
        <v>0.22711967999999999</v>
      </c>
      <c r="AT30" s="65">
        <f t="shared" si="48"/>
        <v>0.22711967999999999</v>
      </c>
      <c r="AU30" s="65">
        <f t="shared" si="49"/>
        <v>4.9966329599999998E-2</v>
      </c>
      <c r="AV30" s="65">
        <f t="shared" si="16"/>
        <v>0.79682541251795613</v>
      </c>
      <c r="AW30" s="65">
        <f t="shared" si="50"/>
        <v>0.20317443050946773</v>
      </c>
      <c r="AX30" s="65">
        <f t="shared" si="50"/>
        <v>4.8738546664154704E-2</v>
      </c>
      <c r="AY30" s="65">
        <f t="shared" si="17"/>
        <v>0.1809747327069462</v>
      </c>
      <c r="AZ30" s="65">
        <f t="shared" si="18"/>
        <v>4.7531043312119159E-2</v>
      </c>
      <c r="BA30" s="65">
        <f t="shared" si="19"/>
        <v>2.0551461690243574E-2</v>
      </c>
      <c r="BB30" s="65">
        <f t="shared" si="20"/>
        <v>1.1874758881826107E-3</v>
      </c>
      <c r="BC30" s="65">
        <f t="shared" si="21"/>
        <v>1.5558804675401266E-3</v>
      </c>
      <c r="BD30" s="65">
        <f t="shared" si="22"/>
        <v>1.9777937206995022E-5</v>
      </c>
      <c r="BE30" s="65">
        <f t="shared" si="23"/>
        <v>8.8342768476490981E-5</v>
      </c>
      <c r="BF30" s="65">
        <f t="shared" si="24"/>
        <v>2.4705773232320418E-7</v>
      </c>
      <c r="BG30" s="65">
        <f t="shared" si="25"/>
        <v>4.0128762613389431E-6</v>
      </c>
      <c r="BH30" s="65">
        <f t="shared" si="26"/>
        <v>2.4689136166979586E-9</v>
      </c>
    </row>
    <row r="31" spans="1:60" x14ac:dyDescent="0.3">
      <c r="A31" s="69"/>
      <c r="B31" s="62">
        <f t="shared" si="0"/>
        <v>6917</v>
      </c>
      <c r="C31" s="63">
        <v>390</v>
      </c>
      <c r="D31" s="64">
        <f t="shared" si="27"/>
        <v>0.47801987999999995</v>
      </c>
      <c r="E31" s="65">
        <f t="shared" si="1"/>
        <v>0.94632613336004567</v>
      </c>
      <c r="F31" s="65">
        <f t="shared" si="28"/>
        <v>0.94632613336004567</v>
      </c>
      <c r="G31" s="65">
        <f t="shared" si="29"/>
        <v>0.20819174933921003</v>
      </c>
      <c r="H31" s="65">
        <f t="shared" si="2"/>
        <v>0.3881644715771001</v>
      </c>
      <c r="I31" s="65">
        <f t="shared" si="30"/>
        <v>0.61138907992294966</v>
      </c>
      <c r="J31" s="66">
        <f t="shared" si="30"/>
        <v>0.18794859387579035</v>
      </c>
      <c r="K31" s="65">
        <f t="shared" si="3"/>
        <v>0.3673301834953025</v>
      </c>
      <c r="L31" s="65">
        <f t="shared" si="4"/>
        <v>0.16906238309020635</v>
      </c>
      <c r="M31" s="65">
        <f t="shared" si="5"/>
        <v>0.17380707610677282</v>
      </c>
      <c r="N31" s="65">
        <f t="shared" si="6"/>
        <v>1.7598696641502872E-2</v>
      </c>
      <c r="O31" s="65">
        <f t="shared" si="7"/>
        <v>5.4826059427579177E-2</v>
      </c>
      <c r="P31" s="65">
        <f t="shared" si="8"/>
        <v>1.2213011466281878E-3</v>
      </c>
      <c r="Q31" s="65">
        <f t="shared" si="9"/>
        <v>1.2970833206367266E-2</v>
      </c>
      <c r="R31" s="65">
        <f t="shared" si="10"/>
        <v>6.3566205546626372E-5</v>
      </c>
      <c r="S31" s="65">
        <f t="shared" si="11"/>
        <v>2.4549276869279242E-3</v>
      </c>
      <c r="T31" s="67">
        <f t="shared" si="12"/>
        <v>2.6467919063215874E-6</v>
      </c>
      <c r="U31" s="76"/>
      <c r="V31" s="62">
        <f t="shared" si="31"/>
        <v>1978</v>
      </c>
      <c r="W31" s="63">
        <v>390</v>
      </c>
      <c r="X31" s="64">
        <f t="shared" si="13"/>
        <v>0.47801987999999995</v>
      </c>
      <c r="Y31" s="65">
        <f t="shared" si="32"/>
        <v>1.1269646276996423</v>
      </c>
      <c r="Z31" s="65">
        <f t="shared" si="33"/>
        <v>1.1269646276996423</v>
      </c>
      <c r="AA31" s="65">
        <f t="shared" si="34"/>
        <v>0.24793221809392132</v>
      </c>
      <c r="AB31" s="65">
        <f t="shared" si="35"/>
        <v>0.32401527225874344</v>
      </c>
      <c r="AC31" s="65">
        <f t="shared" si="36"/>
        <v>0.67489052443273279</v>
      </c>
      <c r="AD31" s="65">
        <f t="shared" si="36"/>
        <v>0.21958689968189885</v>
      </c>
      <c r="AE31" s="65">
        <f t="shared" si="37"/>
        <v>0.36515375067007305</v>
      </c>
      <c r="AF31" s="65">
        <f t="shared" si="38"/>
        <v>0.19348948629028387</v>
      </c>
      <c r="AG31" s="65">
        <f t="shared" si="39"/>
        <v>0.20575768033851347</v>
      </c>
      <c r="AH31" s="65">
        <f t="shared" si="40"/>
        <v>2.3986138756901733E-2</v>
      </c>
      <c r="AI31" s="65">
        <f t="shared" si="41"/>
        <v>7.7293875873011619E-2</v>
      </c>
      <c r="AJ31" s="65">
        <f t="shared" si="42"/>
        <v>1.9823121951690731E-3</v>
      </c>
      <c r="AK31" s="65">
        <f t="shared" si="43"/>
        <v>2.1776866011672728E-2</v>
      </c>
      <c r="AL31" s="65">
        <f t="shared" si="44"/>
        <v>1.2286976487572464E-4</v>
      </c>
      <c r="AM31" s="65">
        <f t="shared" si="45"/>
        <v>4.90835153946195E-3</v>
      </c>
      <c r="AN31" s="65">
        <f t="shared" si="46"/>
        <v>6.0926746684633992E-6</v>
      </c>
      <c r="AO31" s="76"/>
      <c r="AP31" s="62">
        <f t="shared" si="47"/>
        <v>813</v>
      </c>
      <c r="AQ31" s="63">
        <v>390</v>
      </c>
      <c r="AR31" s="64">
        <f t="shared" si="14"/>
        <v>0.47801987999999995</v>
      </c>
      <c r="AS31" s="65">
        <f t="shared" si="15"/>
        <v>0.26655017999999997</v>
      </c>
      <c r="AT31" s="65">
        <f t="shared" si="48"/>
        <v>0.26655017999999997</v>
      </c>
      <c r="AU31" s="65">
        <f t="shared" si="49"/>
        <v>5.86410396E-2</v>
      </c>
      <c r="AV31" s="65">
        <f t="shared" si="16"/>
        <v>0.7660175640003879</v>
      </c>
      <c r="AW31" s="65">
        <f t="shared" si="50"/>
        <v>0.23398203939574347</v>
      </c>
      <c r="AX31" s="65">
        <f t="shared" si="50"/>
        <v>5.6954775647888124E-2</v>
      </c>
      <c r="AY31" s="65">
        <f t="shared" si="17"/>
        <v>0.2041821195674649</v>
      </c>
      <c r="AZ31" s="65">
        <f t="shared" si="18"/>
        <v>5.5301152342673431E-2</v>
      </c>
      <c r="BA31" s="65">
        <f t="shared" si="19"/>
        <v>2.7212390361744641E-2</v>
      </c>
      <c r="BB31" s="65">
        <f t="shared" si="20"/>
        <v>1.6214585322261727E-3</v>
      </c>
      <c r="BC31" s="65">
        <f t="shared" si="21"/>
        <v>2.4178225163844326E-3</v>
      </c>
      <c r="BD31" s="65">
        <f t="shared" si="22"/>
        <v>3.1694671332677625E-5</v>
      </c>
      <c r="BE31" s="65">
        <f t="shared" si="23"/>
        <v>1.6111775673758084E-4</v>
      </c>
      <c r="BF31" s="65">
        <f t="shared" si="24"/>
        <v>4.6465211918213334E-7</v>
      </c>
      <c r="BG31" s="65">
        <f t="shared" si="25"/>
        <v>8.5891934119196777E-6</v>
      </c>
      <c r="BH31" s="65">
        <f t="shared" si="26"/>
        <v>5.4495366642366803E-9</v>
      </c>
    </row>
    <row r="32" spans="1:60" x14ac:dyDescent="0.3">
      <c r="A32" s="69"/>
      <c r="B32" s="62">
        <f t="shared" si="0"/>
        <v>6917</v>
      </c>
      <c r="C32" s="63">
        <v>420</v>
      </c>
      <c r="D32" s="64">
        <f t="shared" si="27"/>
        <v>0.55438991999999998</v>
      </c>
      <c r="E32" s="65">
        <f t="shared" si="1"/>
        <v>1.0975143321808816</v>
      </c>
      <c r="F32" s="65">
        <f t="shared" si="28"/>
        <v>1.0975143321808816</v>
      </c>
      <c r="G32" s="65">
        <f t="shared" si="29"/>
        <v>0.24145315307979387</v>
      </c>
      <c r="H32" s="65">
        <f t="shared" si="2"/>
        <v>0.33369951982070395</v>
      </c>
      <c r="I32" s="65">
        <f t="shared" si="30"/>
        <v>0.6653436775178877</v>
      </c>
      <c r="J32" s="66">
        <f t="shared" si="30"/>
        <v>0.21451417563011105</v>
      </c>
      <c r="K32" s="65">
        <f t="shared" si="3"/>
        <v>0.36624000564510073</v>
      </c>
      <c r="L32" s="65">
        <f t="shared" si="4"/>
        <v>0.18965797494150965</v>
      </c>
      <c r="M32" s="65">
        <f t="shared" si="5"/>
        <v>0.20097682760675253</v>
      </c>
      <c r="N32" s="65">
        <f t="shared" si="6"/>
        <v>2.2896758028178019E-2</v>
      </c>
      <c r="O32" s="65">
        <f t="shared" si="7"/>
        <v>7.3524982911552392E-2</v>
      </c>
      <c r="P32" s="65">
        <f t="shared" si="8"/>
        <v>1.842831473736222E-3</v>
      </c>
      <c r="Q32" s="65">
        <f t="shared" si="9"/>
        <v>2.0173680629695788E-2</v>
      </c>
      <c r="R32" s="65">
        <f t="shared" si="10"/>
        <v>1.1123936748207354E-4</v>
      </c>
      <c r="S32" s="65">
        <f t="shared" si="11"/>
        <v>4.4281807247861914E-3</v>
      </c>
      <c r="T32" s="67">
        <f t="shared" si="12"/>
        <v>5.3718192050297098E-6</v>
      </c>
      <c r="U32" s="76"/>
      <c r="V32" s="62">
        <f t="shared" si="31"/>
        <v>1978</v>
      </c>
      <c r="W32" s="63">
        <v>420</v>
      </c>
      <c r="X32" s="64">
        <f t="shared" si="13"/>
        <v>0.55438991999999998</v>
      </c>
      <c r="Y32" s="65">
        <f t="shared" si="32"/>
        <v>1.307012230941597</v>
      </c>
      <c r="Z32" s="65">
        <f t="shared" si="33"/>
        <v>1.307012230941597</v>
      </c>
      <c r="AA32" s="65">
        <f t="shared" si="34"/>
        <v>0.28754269080715134</v>
      </c>
      <c r="AB32" s="65">
        <f t="shared" si="35"/>
        <v>0.27062742191076167</v>
      </c>
      <c r="AC32" s="65">
        <f t="shared" si="36"/>
        <v>0.72708225054754538</v>
      </c>
      <c r="AD32" s="65">
        <f t="shared" si="36"/>
        <v>0.24989484254642849</v>
      </c>
      <c r="AE32" s="65">
        <f t="shared" si="37"/>
        <v>0.35371335046555746</v>
      </c>
      <c r="AF32" s="65">
        <f t="shared" si="38"/>
        <v>0.21568707883013091</v>
      </c>
      <c r="AG32" s="65">
        <f t="shared" si="39"/>
        <v>0.23115383765290762</v>
      </c>
      <c r="AH32" s="65">
        <f t="shared" si="40"/>
        <v>3.1009621509575001E-2</v>
      </c>
      <c r="AI32" s="65">
        <f t="shared" si="41"/>
        <v>0.10070696434714617</v>
      </c>
      <c r="AJ32" s="65">
        <f t="shared" si="42"/>
        <v>2.9721966699248381E-3</v>
      </c>
      <c r="AK32" s="65">
        <f t="shared" si="43"/>
        <v>3.290630853567985E-2</v>
      </c>
      <c r="AL32" s="65">
        <f t="shared" si="44"/>
        <v>2.1365835701956062E-4</v>
      </c>
      <c r="AM32" s="65">
        <f t="shared" si="45"/>
        <v>8.6017895462542869E-3</v>
      </c>
      <c r="AN32" s="65">
        <f t="shared" si="46"/>
        <v>1.2287179778167894E-5</v>
      </c>
      <c r="AO32" s="76"/>
      <c r="AP32" s="62">
        <f t="shared" si="47"/>
        <v>813</v>
      </c>
      <c r="AQ32" s="63">
        <v>420</v>
      </c>
      <c r="AR32" s="64">
        <f t="shared" si="14"/>
        <v>0.55438991999999998</v>
      </c>
      <c r="AS32" s="65">
        <f t="shared" si="15"/>
        <v>0.30913511999999999</v>
      </c>
      <c r="AT32" s="65">
        <f t="shared" si="48"/>
        <v>0.30913511999999999</v>
      </c>
      <c r="AU32" s="65">
        <f t="shared" si="49"/>
        <v>6.8009726399999998E-2</v>
      </c>
      <c r="AV32" s="65">
        <f t="shared" si="16"/>
        <v>0.73408157422243692</v>
      </c>
      <c r="AW32" s="65">
        <f t="shared" si="50"/>
        <v>0.26591749508943352</v>
      </c>
      <c r="AX32" s="65">
        <f t="shared" si="50"/>
        <v>6.5748613240009024E-2</v>
      </c>
      <c r="AY32" s="65">
        <f t="shared" si="17"/>
        <v>0.22693039553704195</v>
      </c>
      <c r="AZ32" s="65">
        <f t="shared" si="18"/>
        <v>6.3538181193549703E-2</v>
      </c>
      <c r="BA32" s="65">
        <f t="shared" si="19"/>
        <v>3.5076077527995457E-2</v>
      </c>
      <c r="BB32" s="65">
        <f t="shared" si="20"/>
        <v>2.1606071594634704E-3</v>
      </c>
      <c r="BC32" s="65">
        <f t="shared" si="21"/>
        <v>3.6144158119153936E-3</v>
      </c>
      <c r="BD32" s="65">
        <f t="shared" si="22"/>
        <v>4.8980767257663926E-5</v>
      </c>
      <c r="BE32" s="65">
        <f t="shared" si="23"/>
        <v>2.7933571643659063E-4</v>
      </c>
      <c r="BF32" s="65">
        <f t="shared" si="24"/>
        <v>8.3279214501395061E-7</v>
      </c>
      <c r="BG32" s="65">
        <f t="shared" si="25"/>
        <v>1.7270496044182285E-5</v>
      </c>
      <c r="BH32" s="65">
        <f t="shared" si="26"/>
        <v>1.1327593186093578E-8</v>
      </c>
    </row>
    <row r="33" spans="1:60" x14ac:dyDescent="0.3">
      <c r="A33" s="69"/>
      <c r="B33" s="62">
        <f t="shared" si="0"/>
        <v>6917</v>
      </c>
      <c r="C33" s="63">
        <v>450</v>
      </c>
      <c r="D33" s="64">
        <f t="shared" si="27"/>
        <v>0.63641700000000001</v>
      </c>
      <c r="E33" s="65">
        <f t="shared" si="1"/>
        <v>1.2599016568402976</v>
      </c>
      <c r="F33" s="65">
        <f t="shared" si="28"/>
        <v>1.2599016568402976</v>
      </c>
      <c r="G33" s="65">
        <f t="shared" si="29"/>
        <v>0.27717836450486544</v>
      </c>
      <c r="H33" s="65">
        <f t="shared" si="2"/>
        <v>0.28368192330470615</v>
      </c>
      <c r="I33" s="65">
        <f t="shared" si="30"/>
        <v>0.71440676746881937</v>
      </c>
      <c r="J33" s="66">
        <f t="shared" si="30"/>
        <v>0.24208020390881582</v>
      </c>
      <c r="K33" s="65">
        <f t="shared" si="3"/>
        <v>0.3574113251872415</v>
      </c>
      <c r="L33" s="65">
        <f t="shared" si="4"/>
        <v>0.21007883176592648</v>
      </c>
      <c r="M33" s="65">
        <f t="shared" si="5"/>
        <v>0.225151560388446</v>
      </c>
      <c r="N33" s="65">
        <f t="shared" si="6"/>
        <v>2.911465350298614E-2</v>
      </c>
      <c r="O33" s="65">
        <f t="shared" si="7"/>
        <v>9.4556274657860484E-2</v>
      </c>
      <c r="P33" s="65">
        <f t="shared" si="8"/>
        <v>2.6899840136945167E-3</v>
      </c>
      <c r="Q33" s="65">
        <f t="shared" si="9"/>
        <v>2.9782901776521167E-2</v>
      </c>
      <c r="R33" s="65">
        <f t="shared" si="10"/>
        <v>1.864013423650199E-4</v>
      </c>
      <c r="S33" s="65">
        <f t="shared" si="11"/>
        <v>7.5047054587501728E-3</v>
      </c>
      <c r="T33" s="67">
        <f t="shared" si="12"/>
        <v>1.033328384364954E-5</v>
      </c>
      <c r="U33" s="76"/>
      <c r="V33" s="62">
        <f t="shared" si="31"/>
        <v>1978</v>
      </c>
      <c r="W33" s="63">
        <v>450</v>
      </c>
      <c r="X33" s="64">
        <f t="shared" si="13"/>
        <v>0.63641700000000001</v>
      </c>
      <c r="Y33" s="65">
        <f t="shared" si="32"/>
        <v>1.500396693682956</v>
      </c>
      <c r="Z33" s="65">
        <f t="shared" si="33"/>
        <v>1.500396693682956</v>
      </c>
      <c r="AA33" s="65">
        <f t="shared" si="34"/>
        <v>0.33008727261025034</v>
      </c>
      <c r="AB33" s="65">
        <f t="shared" si="35"/>
        <v>0.22304166337763748</v>
      </c>
      <c r="AC33" s="65">
        <f t="shared" si="36"/>
        <v>0.77249675195717948</v>
      </c>
      <c r="AD33" s="65">
        <f t="shared" si="36"/>
        <v>0.28113765120091666</v>
      </c>
      <c r="AE33" s="65">
        <f t="shared" si="37"/>
        <v>0.33465097428535412</v>
      </c>
      <c r="AF33" s="65">
        <f t="shared" si="38"/>
        <v>0.23728686483557582</v>
      </c>
      <c r="AG33" s="65">
        <f t="shared" si="39"/>
        <v>0.25105460767776261</v>
      </c>
      <c r="AH33" s="65">
        <f t="shared" si="40"/>
        <v>3.9162687019906169E-2</v>
      </c>
      <c r="AI33" s="65">
        <f t="shared" si="41"/>
        <v>0.12556050109786224</v>
      </c>
      <c r="AJ33" s="65">
        <f t="shared" si="42"/>
        <v>4.3090348488298933E-3</v>
      </c>
      <c r="AK33" s="65">
        <f t="shared" si="43"/>
        <v>4.7097640176101914E-2</v>
      </c>
      <c r="AL33" s="65">
        <f t="shared" si="44"/>
        <v>3.5558939020819552E-4</v>
      </c>
      <c r="AM33" s="65">
        <f t="shared" si="45"/>
        <v>1.4133028720098575E-2</v>
      </c>
      <c r="AN33" s="65">
        <f t="shared" si="46"/>
        <v>2.3475106396593058E-5</v>
      </c>
      <c r="AO33" s="76"/>
      <c r="AP33" s="62">
        <f t="shared" si="47"/>
        <v>813</v>
      </c>
      <c r="AQ33" s="63">
        <v>450</v>
      </c>
      <c r="AR33" s="64">
        <f t="shared" si="14"/>
        <v>0.63641700000000001</v>
      </c>
      <c r="AS33" s="65">
        <f t="shared" si="15"/>
        <v>0.35487449999999998</v>
      </c>
      <c r="AT33" s="65">
        <f t="shared" si="48"/>
        <v>0.35487449999999998</v>
      </c>
      <c r="AU33" s="65">
        <f t="shared" si="49"/>
        <v>7.8072389999999992E-2</v>
      </c>
      <c r="AV33" s="65">
        <f t="shared" si="16"/>
        <v>0.70126144599775464</v>
      </c>
      <c r="AW33" s="65">
        <f t="shared" si="50"/>
        <v>0.2987365054836244</v>
      </c>
      <c r="AX33" s="65">
        <f t="shared" si="50"/>
        <v>7.5102528913627634E-2</v>
      </c>
      <c r="AY33" s="65">
        <f t="shared" si="17"/>
        <v>0.24885980501773017</v>
      </c>
      <c r="AZ33" s="65">
        <f t="shared" si="18"/>
        <v>7.2208956049701803E-2</v>
      </c>
      <c r="BA33" s="65">
        <f t="shared" si="19"/>
        <v>4.415699943788224E-2</v>
      </c>
      <c r="BB33" s="65">
        <f t="shared" si="20"/>
        <v>2.8187628891025891E-3</v>
      </c>
      <c r="BC33" s="65">
        <f t="shared" si="21"/>
        <v>5.2233976990062464E-3</v>
      </c>
      <c r="BD33" s="65">
        <f t="shared" si="22"/>
        <v>7.3355851865181359E-5</v>
      </c>
      <c r="BE33" s="65">
        <f t="shared" si="23"/>
        <v>4.6341266168399797E-4</v>
      </c>
      <c r="BF33" s="65">
        <f t="shared" si="24"/>
        <v>1.4317666689001665E-6</v>
      </c>
      <c r="BG33" s="65">
        <f t="shared" si="25"/>
        <v>3.2890667321755592E-5</v>
      </c>
      <c r="BH33" s="65">
        <f t="shared" si="26"/>
        <v>2.2356289152674931E-8</v>
      </c>
    </row>
    <row r="34" spans="1:60" x14ac:dyDescent="0.3">
      <c r="A34" s="69"/>
      <c r="B34" s="62">
        <f t="shared" si="0"/>
        <v>6917</v>
      </c>
      <c r="C34" s="63">
        <v>480</v>
      </c>
      <c r="D34" s="64">
        <f t="shared" si="27"/>
        <v>0.72410112000000004</v>
      </c>
      <c r="E34" s="65">
        <f t="shared" si="1"/>
        <v>1.4334881073382943</v>
      </c>
      <c r="F34" s="65">
        <f t="shared" si="28"/>
        <v>1.4334881073382943</v>
      </c>
      <c r="G34" s="65">
        <f t="shared" si="29"/>
        <v>0.31536738361442462</v>
      </c>
      <c r="H34" s="65">
        <f t="shared" si="2"/>
        <v>0.23847564116774478</v>
      </c>
      <c r="I34" s="65">
        <f t="shared" si="30"/>
        <v>0.75793687691210743</v>
      </c>
      <c r="J34" s="66">
        <f t="shared" si="30"/>
        <v>0.27047814542387605</v>
      </c>
      <c r="K34" s="65">
        <f t="shared" si="3"/>
        <v>0.34185199550383671</v>
      </c>
      <c r="L34" s="65">
        <f t="shared" si="4"/>
        <v>0.23006706946954639</v>
      </c>
      <c r="M34" s="65">
        <f t="shared" si="5"/>
        <v>0.245020385012307</v>
      </c>
      <c r="N34" s="65">
        <f t="shared" si="6"/>
        <v>3.6277824877224453E-2</v>
      </c>
      <c r="O34" s="65">
        <f t="shared" si="7"/>
        <v>0.11707793599019739</v>
      </c>
      <c r="P34" s="65">
        <f t="shared" si="8"/>
        <v>3.8136142382508534E-3</v>
      </c>
      <c r="Q34" s="65">
        <f t="shared" si="9"/>
        <v>4.1957457218415511E-2</v>
      </c>
      <c r="R34" s="65">
        <f t="shared" si="10"/>
        <v>3.0067238610797218E-4</v>
      </c>
      <c r="S34" s="65">
        <f t="shared" si="11"/>
        <v>1.2029103187350782E-2</v>
      </c>
      <c r="T34" s="67">
        <f t="shared" si="12"/>
        <v>1.8964452746395451E-5</v>
      </c>
      <c r="U34" s="76"/>
      <c r="V34" s="62">
        <f t="shared" si="31"/>
        <v>1978</v>
      </c>
      <c r="W34" s="63">
        <v>480</v>
      </c>
      <c r="X34" s="64">
        <f t="shared" si="13"/>
        <v>0.72410112000000004</v>
      </c>
      <c r="Y34" s="65">
        <f t="shared" si="32"/>
        <v>1.7071180159237187</v>
      </c>
      <c r="Z34" s="65">
        <f t="shared" si="33"/>
        <v>1.7071180159237187</v>
      </c>
      <c r="AA34" s="65">
        <f t="shared" si="34"/>
        <v>0.37556596350321814</v>
      </c>
      <c r="AB34" s="65">
        <f t="shared" si="35"/>
        <v>0.18138779679394476</v>
      </c>
      <c r="AC34" s="65">
        <f>SUM(AE34,AG34,AI34,AK34,AM34)</f>
        <v>0.81045784609408977</v>
      </c>
      <c r="AD34" s="65">
        <f>SUM(AF34,AH34,AJ34,AL34,AN34)</f>
        <v>0.31309676394410213</v>
      </c>
      <c r="AE34" s="65">
        <f t="shared" si="37"/>
        <v>0.30965037577565363</v>
      </c>
      <c r="AF34" s="65">
        <f t="shared" si="38"/>
        <v>0.25797641363514201</v>
      </c>
      <c r="AG34" s="65">
        <f t="shared" si="39"/>
        <v>0.26430486756208388</v>
      </c>
      <c r="AH34" s="65">
        <f t="shared" si="40"/>
        <v>4.8443580173993417E-2</v>
      </c>
      <c r="AI34" s="65">
        <f t="shared" si="41"/>
        <v>0.15039986703718863</v>
      </c>
      <c r="AJ34" s="65">
        <f t="shared" si="42"/>
        <v>6.0645866211970776E-3</v>
      </c>
      <c r="AK34" s="65">
        <f t="shared" si="43"/>
        <v>6.4187580652929135E-2</v>
      </c>
      <c r="AL34" s="65">
        <f t="shared" si="44"/>
        <v>5.6941307940965166E-4</v>
      </c>
      <c r="AM34" s="65">
        <f t="shared" si="45"/>
        <v>2.1915155066234412E-2</v>
      </c>
      <c r="AN34" s="65">
        <f t="shared" si="46"/>
        <v>4.2770434359964058E-5</v>
      </c>
      <c r="AO34" s="76"/>
      <c r="AP34" s="62">
        <f t="shared" si="47"/>
        <v>813</v>
      </c>
      <c r="AQ34" s="63">
        <v>480</v>
      </c>
      <c r="AR34" s="64">
        <f t="shared" si="14"/>
        <v>0.72410112000000004</v>
      </c>
      <c r="AS34" s="65">
        <f t="shared" si="15"/>
        <v>0.40376832000000001</v>
      </c>
      <c r="AT34" s="65">
        <f t="shared" si="48"/>
        <v>0.40376832000000001</v>
      </c>
      <c r="AU34" s="65">
        <f t="shared" si="49"/>
        <v>8.8829030400000009E-2</v>
      </c>
      <c r="AV34" s="65">
        <f t="shared" si="16"/>
        <v>0.66779881897843518</v>
      </c>
      <c r="AW34" s="65">
        <f t="shared" si="50"/>
        <v>0.3321969180657372</v>
      </c>
      <c r="AX34" s="65">
        <f t="shared" si="50"/>
        <v>8.4998001639917178E-2</v>
      </c>
      <c r="AY34" s="65">
        <f t="shared" si="17"/>
        <v>0.26963600723690689</v>
      </c>
      <c r="AZ34" s="65">
        <f t="shared" si="18"/>
        <v>8.1278740272217639E-2</v>
      </c>
      <c r="BA34" s="65">
        <f t="shared" si="19"/>
        <v>5.4435238826776873E-2</v>
      </c>
      <c r="BB34" s="65">
        <f t="shared" si="20"/>
        <v>3.6099558452572624E-3</v>
      </c>
      <c r="BC34" s="65">
        <f t="shared" si="21"/>
        <v>7.3264083099621562E-3</v>
      </c>
      <c r="BD34" s="65">
        <f t="shared" si="22"/>
        <v>1.0688962584033836E-4</v>
      </c>
      <c r="BE34" s="65">
        <f t="shared" si="23"/>
        <v>7.3954289373686494E-4</v>
      </c>
      <c r="BF34" s="65">
        <f t="shared" si="24"/>
        <v>2.3737254558040104E-6</v>
      </c>
      <c r="BG34" s="65">
        <f t="shared" si="25"/>
        <v>5.9720798354414489E-5</v>
      </c>
      <c r="BH34" s="65">
        <f t="shared" si="26"/>
        <v>4.2171146134973662E-8</v>
      </c>
    </row>
    <row r="35" spans="1:60" ht="15" thickBot="1" x14ac:dyDescent="0.35">
      <c r="A35" s="78"/>
      <c r="B35" s="79">
        <f t="shared" si="0"/>
        <v>6917</v>
      </c>
      <c r="C35" s="80">
        <v>510</v>
      </c>
      <c r="D35" s="81">
        <f t="shared" si="27"/>
        <v>0.81744227999999997</v>
      </c>
      <c r="E35" s="82">
        <f t="shared" si="1"/>
        <v>1.6182736836748712</v>
      </c>
      <c r="F35" s="82">
        <f t="shared" si="28"/>
        <v>1.6182736836748712</v>
      </c>
      <c r="G35" s="82">
        <f t="shared" si="29"/>
        <v>0.35602021040847154</v>
      </c>
      <c r="H35" s="82">
        <f t="shared" si="2"/>
        <v>0.19824062989401689</v>
      </c>
      <c r="I35" s="82">
        <f>SUM(K35,M35,O35,Q35,S35)</f>
        <v>0.79539038962293329</v>
      </c>
      <c r="J35" s="83">
        <f>SUM(L35,N35,P35,R35,T35)</f>
        <v>0.29953944997401788</v>
      </c>
      <c r="K35" s="84">
        <f t="shared" si="3"/>
        <v>0.32080759439261752</v>
      </c>
      <c r="L35" s="82">
        <f t="shared" si="4"/>
        <v>0.24937736957209458</v>
      </c>
      <c r="M35" s="82">
        <f t="shared" si="5"/>
        <v>0.25957724376430752</v>
      </c>
      <c r="N35" s="82">
        <f t="shared" si="6"/>
        <v>4.4391691793084144E-2</v>
      </c>
      <c r="O35" s="82">
        <f t="shared" si="7"/>
        <v>0.14002234082154533</v>
      </c>
      <c r="P35" s="82">
        <f t="shared" si="8"/>
        <v>5.2681131508539453E-3</v>
      </c>
      <c r="Q35" s="82">
        <f t="shared" si="9"/>
        <v>5.66486173195151E-2</v>
      </c>
      <c r="R35" s="82">
        <f t="shared" si="10"/>
        <v>4.6888868810566445E-4</v>
      </c>
      <c r="S35" s="82">
        <f t="shared" si="11"/>
        <v>1.8334593324947964E-2</v>
      </c>
      <c r="T35" s="85">
        <f t="shared" si="12"/>
        <v>3.3386769879506163E-5</v>
      </c>
      <c r="U35" s="76"/>
      <c r="V35" s="62">
        <f t="shared" si="31"/>
        <v>1978</v>
      </c>
      <c r="W35" s="63">
        <v>510</v>
      </c>
      <c r="X35" s="64">
        <f t="shared" si="13"/>
        <v>0.81744227999999997</v>
      </c>
      <c r="Y35" s="65">
        <f t="shared" si="32"/>
        <v>1.9271761976638855</v>
      </c>
      <c r="Z35" s="65">
        <f t="shared" si="33"/>
        <v>1.9271761976638855</v>
      </c>
      <c r="AA35" s="65">
        <f t="shared" si="34"/>
        <v>0.42397876348605479</v>
      </c>
      <c r="AB35" s="65">
        <f t="shared" si="35"/>
        <v>0.14555864754635714</v>
      </c>
      <c r="AC35" s="65">
        <f>SUM(AE35,AG35,AI35,AK35,AM35)</f>
        <v>0.84036473140602985</v>
      </c>
      <c r="AD35" s="65">
        <f>SUM(AF35,AH35,AJ35,AL35,AN35)</f>
        <v>0.34555660311074593</v>
      </c>
      <c r="AE35" s="65">
        <f t="shared" si="37"/>
        <v>0.28051716091548623</v>
      </c>
      <c r="AF35" s="65">
        <f t="shared" si="38"/>
        <v>0.27746772063201325</v>
      </c>
      <c r="AG35" s="65">
        <f t="shared" si="39"/>
        <v>0.27030299777628752</v>
      </c>
      <c r="AH35" s="65">
        <f t="shared" si="40"/>
        <v>5.8820210550427535E-2</v>
      </c>
      <c r="AI35" s="65">
        <f t="shared" si="41"/>
        <v>0.17364050115721849</v>
      </c>
      <c r="AJ35" s="65">
        <f t="shared" si="42"/>
        <v>8.3128400457198864E-3</v>
      </c>
      <c r="AK35" s="65">
        <f t="shared" si="43"/>
        <v>8.3658960195154952E-2</v>
      </c>
      <c r="AL35" s="65">
        <f t="shared" si="44"/>
        <v>8.8111691091041918E-4</v>
      </c>
      <c r="AM35" s="65">
        <f t="shared" si="45"/>
        <v>3.2245111361882614E-2</v>
      </c>
      <c r="AN35" s="65">
        <f t="shared" si="46"/>
        <v>7.4714971674890373E-5</v>
      </c>
      <c r="AO35" s="76"/>
      <c r="AP35" s="62">
        <f t="shared" si="47"/>
        <v>813</v>
      </c>
      <c r="AQ35" s="73">
        <v>510</v>
      </c>
      <c r="AR35" s="64">
        <f t="shared" si="14"/>
        <v>0.81744227999999997</v>
      </c>
      <c r="AS35" s="65">
        <f t="shared" si="15"/>
        <v>0.45581658000000003</v>
      </c>
      <c r="AT35" s="65">
        <f t="shared" si="48"/>
        <v>0.45581658000000003</v>
      </c>
      <c r="AU35" s="65">
        <f t="shared" si="49"/>
        <v>0.10027964760000002</v>
      </c>
      <c r="AV35" s="65">
        <f t="shared" si="16"/>
        <v>0.63393010189486809</v>
      </c>
      <c r="AW35" s="65">
        <f t="shared" si="50"/>
        <v>0.36606145626932135</v>
      </c>
      <c r="AX35" s="74">
        <f t="shared" si="50"/>
        <v>9.5415580903151331E-2</v>
      </c>
      <c r="AY35" s="65">
        <f t="shared" si="17"/>
        <v>0.28895585100477034</v>
      </c>
      <c r="AZ35" s="65">
        <f t="shared" si="18"/>
        <v>9.0711406641507245E-2</v>
      </c>
      <c r="BA35" s="65">
        <f t="shared" si="19"/>
        <v>6.585543388799199E-2</v>
      </c>
      <c r="BB35" s="65">
        <f t="shared" si="20"/>
        <v>4.5482539456553244E-3</v>
      </c>
      <c r="BC35" s="65">
        <f t="shared" si="21"/>
        <v>1.0005999549746871E-2</v>
      </c>
      <c r="BD35" s="65">
        <f t="shared" si="22"/>
        <v>1.5203243428854187E-4</v>
      </c>
      <c r="BE35" s="65">
        <f t="shared" si="23"/>
        <v>1.1402251235617898E-3</v>
      </c>
      <c r="BF35" s="65">
        <f t="shared" si="24"/>
        <v>3.8114397335562847E-6</v>
      </c>
      <c r="BG35" s="65">
        <f t="shared" si="25"/>
        <v>1.0394670325040249E-4</v>
      </c>
      <c r="BH35" s="65">
        <f t="shared" si="26"/>
        <v>7.6441966665932446E-8</v>
      </c>
    </row>
    <row r="36" spans="1:60" ht="15" thickTop="1" x14ac:dyDescent="0.3">
      <c r="A36" s="38"/>
      <c r="B36" s="62"/>
      <c r="C36" s="63"/>
      <c r="D36" s="86"/>
      <c r="E36" s="87"/>
      <c r="F36" s="87"/>
      <c r="G36" s="87"/>
      <c r="H36" s="87"/>
      <c r="I36" s="87"/>
      <c r="J36" s="87"/>
      <c r="K36" s="87"/>
      <c r="L36" s="87"/>
      <c r="M36" s="87"/>
      <c r="N36" s="87"/>
      <c r="O36" s="87"/>
      <c r="P36" s="87"/>
      <c r="Q36" s="87"/>
      <c r="R36" s="87"/>
      <c r="S36" s="87"/>
      <c r="T36" s="87"/>
      <c r="U36" s="76"/>
      <c r="V36" s="62"/>
      <c r="W36" s="63"/>
      <c r="X36" s="64"/>
      <c r="Y36" s="65"/>
      <c r="Z36" s="65"/>
      <c r="AA36" s="65"/>
      <c r="AB36" s="65"/>
      <c r="AC36" s="65"/>
      <c r="AD36" s="65"/>
      <c r="AE36" s="65"/>
      <c r="AF36" s="65"/>
      <c r="AG36" s="65"/>
      <c r="AH36" s="65"/>
      <c r="AI36" s="65"/>
      <c r="AJ36" s="65"/>
      <c r="AK36" s="65"/>
      <c r="AL36" s="65"/>
      <c r="AM36" s="65"/>
      <c r="AN36" s="65"/>
      <c r="AO36" s="76"/>
      <c r="AP36" s="62">
        <f t="shared" si="47"/>
        <v>813</v>
      </c>
      <c r="AQ36" s="63">
        <v>540</v>
      </c>
      <c r="AR36" s="64">
        <f t="shared" si="14"/>
        <v>0.91644048</v>
      </c>
      <c r="AS36" s="65">
        <f t="shared" si="15"/>
        <v>0.51101928000000008</v>
      </c>
      <c r="AT36" s="65">
        <f t="shared" si="48"/>
        <v>0.51101928000000008</v>
      </c>
      <c r="AU36" s="65">
        <f t="shared" si="49"/>
        <v>0.11242424160000003</v>
      </c>
      <c r="AV36" s="65">
        <f t="shared" si="16"/>
        <v>0.59988381750968922</v>
      </c>
      <c r="AW36" s="65">
        <f t="shared" ref="AW36:AX39" si="51">SUM(AY36,BA36,BC36,BE36,BG36)</f>
        <v>0.40010018856936364</v>
      </c>
      <c r="AX36" s="65">
        <f t="shared" si="51"/>
        <v>0.10633495027488725</v>
      </c>
      <c r="AY36" s="65">
        <f t="shared" si="17"/>
        <v>0.3065521965074528</v>
      </c>
      <c r="AZ36" s="65">
        <f t="shared" si="18"/>
        <v>0.10046961517343389</v>
      </c>
      <c r="BA36" s="65">
        <f t="shared" si="19"/>
        <v>7.8327041370828548E-2</v>
      </c>
      <c r="BB36" s="65">
        <f t="shared" si="20"/>
        <v>5.6476101448585799E-3</v>
      </c>
      <c r="BC36" s="65">
        <f t="shared" si="21"/>
        <v>1.3342209428617009E-2</v>
      </c>
      <c r="BD36" s="65">
        <f t="shared" si="22"/>
        <v>2.1164276246273071E-4</v>
      </c>
      <c r="BE36" s="65">
        <f t="shared" si="23"/>
        <v>1.704531563955269E-3</v>
      </c>
      <c r="BF36" s="65">
        <f t="shared" si="24"/>
        <v>5.9484442650003647E-6</v>
      </c>
      <c r="BG36" s="65">
        <f t="shared" si="25"/>
        <v>1.7420969850993911E-4</v>
      </c>
      <c r="BH36" s="65">
        <f t="shared" si="26"/>
        <v>1.3374986703850713E-7</v>
      </c>
    </row>
    <row r="37" spans="1:60" x14ac:dyDescent="0.3">
      <c r="A37" s="38"/>
      <c r="B37" s="62"/>
      <c r="C37" s="63"/>
      <c r="D37" s="86"/>
      <c r="E37" s="87"/>
      <c r="F37" s="87"/>
      <c r="G37" s="87"/>
      <c r="H37" s="87"/>
      <c r="I37" s="87"/>
      <c r="J37" s="87"/>
      <c r="K37" s="87"/>
      <c r="L37" s="87"/>
      <c r="M37" s="87"/>
      <c r="N37" s="87"/>
      <c r="O37" s="87"/>
      <c r="P37" s="87"/>
      <c r="Q37" s="87"/>
      <c r="R37" s="87"/>
      <c r="S37" s="87"/>
      <c r="T37" s="87"/>
      <c r="U37" s="76"/>
      <c r="V37" s="62"/>
      <c r="W37" s="63"/>
      <c r="X37" s="64"/>
      <c r="Y37" s="65"/>
      <c r="Z37" s="65"/>
      <c r="AA37" s="65"/>
      <c r="AB37" s="65"/>
      <c r="AC37" s="65"/>
      <c r="AD37" s="65"/>
      <c r="AE37" s="65"/>
      <c r="AF37" s="65"/>
      <c r="AG37" s="65"/>
      <c r="AH37" s="65"/>
      <c r="AI37" s="65"/>
      <c r="AJ37" s="65"/>
      <c r="AK37" s="65"/>
      <c r="AL37" s="65"/>
      <c r="AM37" s="65"/>
      <c r="AN37" s="65"/>
      <c r="AO37" s="76"/>
      <c r="AP37" s="62">
        <f t="shared" si="47"/>
        <v>813</v>
      </c>
      <c r="AQ37" s="63">
        <v>570</v>
      </c>
      <c r="AR37" s="64">
        <f t="shared" si="14"/>
        <v>1.0210957199999999</v>
      </c>
      <c r="AS37" s="65">
        <f t="shared" si="15"/>
        <v>0.56937641999999999</v>
      </c>
      <c r="AT37" s="65">
        <f t="shared" si="48"/>
        <v>0.56937641999999999</v>
      </c>
      <c r="AU37" s="65">
        <f t="shared" si="49"/>
        <v>0.12526281239999998</v>
      </c>
      <c r="AV37" s="65">
        <f t="shared" si="16"/>
        <v>0.56587819902831327</v>
      </c>
      <c r="AW37" s="65">
        <f t="shared" si="51"/>
        <v>0.43409267882994473</v>
      </c>
      <c r="AX37" s="65">
        <f t="shared" si="51"/>
        <v>0.11773499325010731</v>
      </c>
      <c r="AY37" s="65">
        <f t="shared" si="17"/>
        <v>0.32219770311878848</v>
      </c>
      <c r="AZ37" s="65">
        <f t="shared" si="18"/>
        <v>0.11051499542386239</v>
      </c>
      <c r="BA37" s="65">
        <f t="shared" si="19"/>
        <v>9.1725887366999298E-2</v>
      </c>
      <c r="BB37" s="65">
        <f t="shared" si="20"/>
        <v>6.9217095695830646E-3</v>
      </c>
      <c r="BC37" s="65">
        <f t="shared" si="21"/>
        <v>1.7408852456781764E-2</v>
      </c>
      <c r="BD37" s="65">
        <f t="shared" si="22"/>
        <v>2.8901093576732271E-4</v>
      </c>
      <c r="BE37" s="65">
        <f t="shared" si="23"/>
        <v>2.4780475220376511E-3</v>
      </c>
      <c r="BF37" s="65">
        <f t="shared" si="24"/>
        <v>9.0505806571426461E-6</v>
      </c>
      <c r="BG37" s="65">
        <f t="shared" si="25"/>
        <v>2.8218836533753377E-4</v>
      </c>
      <c r="BH37" s="65">
        <f t="shared" si="26"/>
        <v>2.2674023739334555E-7</v>
      </c>
    </row>
    <row r="38" spans="1:60" x14ac:dyDescent="0.3">
      <c r="A38" s="38"/>
      <c r="B38" s="62"/>
      <c r="C38" s="63"/>
      <c r="D38" s="86"/>
      <c r="E38" s="87"/>
      <c r="F38" s="87"/>
      <c r="G38" s="87"/>
      <c r="H38" s="87"/>
      <c r="I38" s="87"/>
      <c r="J38" s="87"/>
      <c r="K38" s="87"/>
      <c r="L38" s="87"/>
      <c r="M38" s="87"/>
      <c r="N38" s="87"/>
      <c r="O38" s="87"/>
      <c r="P38" s="87"/>
      <c r="Q38" s="87"/>
      <c r="R38" s="87"/>
      <c r="S38" s="87"/>
      <c r="T38" s="87"/>
      <c r="U38" s="76"/>
      <c r="V38" s="62"/>
      <c r="W38" s="63"/>
      <c r="X38" s="64"/>
      <c r="Y38" s="65"/>
      <c r="Z38" s="65"/>
      <c r="AA38" s="65"/>
      <c r="AB38" s="65"/>
      <c r="AC38" s="65"/>
      <c r="AD38" s="65"/>
      <c r="AE38" s="65"/>
      <c r="AF38" s="65"/>
      <c r="AG38" s="65"/>
      <c r="AH38" s="65"/>
      <c r="AI38" s="65"/>
      <c r="AJ38" s="65"/>
      <c r="AK38" s="65"/>
      <c r="AL38" s="65"/>
      <c r="AM38" s="65"/>
      <c r="AN38" s="65"/>
      <c r="AO38" s="76"/>
      <c r="AP38" s="62">
        <f t="shared" si="47"/>
        <v>813</v>
      </c>
      <c r="AQ38" s="63">
        <v>600</v>
      </c>
      <c r="AR38" s="64">
        <f t="shared" si="14"/>
        <v>1.131408</v>
      </c>
      <c r="AS38" s="65">
        <f t="shared" si="15"/>
        <v>0.630888</v>
      </c>
      <c r="AT38" s="65">
        <f t="shared" si="48"/>
        <v>0.630888</v>
      </c>
      <c r="AU38" s="65">
        <f t="shared" si="49"/>
        <v>0.13879535999999998</v>
      </c>
      <c r="AV38" s="65">
        <f t="shared" si="16"/>
        <v>0.53211906941149556</v>
      </c>
      <c r="AW38" s="65">
        <f t="shared" si="51"/>
        <v>0.46782977422456101</v>
      </c>
      <c r="AX38" s="65">
        <f t="shared" si="51"/>
        <v>0.12959386103838466</v>
      </c>
      <c r="AY38" s="65">
        <f t="shared" si="17"/>
        <v>0.33570753546287962</v>
      </c>
      <c r="AZ38" s="65">
        <f t="shared" si="18"/>
        <v>0.12080833217964579</v>
      </c>
      <c r="BA38" s="65">
        <f t="shared" si="19"/>
        <v>0.10589692781655259</v>
      </c>
      <c r="BB38" s="65">
        <f t="shared" si="20"/>
        <v>8.3838179779367594E-3</v>
      </c>
      <c r="BC38" s="65">
        <f t="shared" si="21"/>
        <v>2.2269700332109746E-2</v>
      </c>
      <c r="BD38" s="65">
        <f t="shared" si="22"/>
        <v>3.8787834480740146E-4</v>
      </c>
      <c r="BE38" s="65">
        <f t="shared" si="23"/>
        <v>3.5124216757810131E-3</v>
      </c>
      <c r="BF38" s="65">
        <f t="shared" si="24"/>
        <v>1.3458928625936854E-5</v>
      </c>
      <c r="BG38" s="65">
        <f t="shared" si="25"/>
        <v>4.431889372380264E-4</v>
      </c>
      <c r="BH38" s="65">
        <f t="shared" si="26"/>
        <v>3.7360736877024216E-7</v>
      </c>
    </row>
    <row r="39" spans="1:60" x14ac:dyDescent="0.3">
      <c r="A39" s="38"/>
      <c r="B39" s="62"/>
      <c r="C39" s="63"/>
      <c r="D39" s="86"/>
      <c r="E39" s="87"/>
      <c r="F39" s="87"/>
      <c r="G39" s="87"/>
      <c r="H39" s="87"/>
      <c r="I39" s="87"/>
      <c r="J39" s="87"/>
      <c r="K39" s="87"/>
      <c r="L39" s="87"/>
      <c r="M39" s="87"/>
      <c r="N39" s="87"/>
      <c r="O39" s="87"/>
      <c r="P39" s="87"/>
      <c r="Q39" s="87"/>
      <c r="R39" s="87"/>
      <c r="S39" s="87"/>
      <c r="T39" s="87"/>
      <c r="U39" s="76"/>
      <c r="V39" s="62"/>
      <c r="W39" s="63"/>
      <c r="X39" s="64"/>
      <c r="Y39" s="65"/>
      <c r="Z39" s="65"/>
      <c r="AA39" s="65"/>
      <c r="AB39" s="65"/>
      <c r="AC39" s="65"/>
      <c r="AD39" s="65"/>
      <c r="AE39" s="65"/>
      <c r="AF39" s="65"/>
      <c r="AG39" s="65"/>
      <c r="AH39" s="65"/>
      <c r="AI39" s="65"/>
      <c r="AJ39" s="65"/>
      <c r="AK39" s="65"/>
      <c r="AL39" s="65"/>
      <c r="AM39" s="65"/>
      <c r="AN39" s="65"/>
      <c r="AO39" s="76"/>
      <c r="AP39" s="62">
        <f t="shared" si="47"/>
        <v>813</v>
      </c>
      <c r="AQ39" s="63">
        <v>630</v>
      </c>
      <c r="AR39" s="64">
        <f t="shared" si="14"/>
        <v>1.2473773199999998</v>
      </c>
      <c r="AS39" s="65">
        <f t="shared" si="15"/>
        <v>0.69555401999999988</v>
      </c>
      <c r="AT39" s="65">
        <f t="shared" si="48"/>
        <v>0.69555401999999988</v>
      </c>
      <c r="AU39" s="65">
        <f t="shared" si="49"/>
        <v>0.15302188439999997</v>
      </c>
      <c r="AV39" s="65">
        <f t="shared" si="16"/>
        <v>0.49879802733781714</v>
      </c>
      <c r="AW39" s="65">
        <f t="shared" si="51"/>
        <v>0.50111499658664616</v>
      </c>
      <c r="AX39" s="65">
        <f t="shared" si="51"/>
        <v>0.14188904199476185</v>
      </c>
      <c r="AY39" s="65">
        <f t="shared" si="17"/>
        <v>0.34694097308288857</v>
      </c>
      <c r="AZ39" s="65">
        <f t="shared" si="18"/>
        <v>0.13130975342461529</v>
      </c>
      <c r="BA39" s="65">
        <f t="shared" si="19"/>
        <v>0.12065809426525745</v>
      </c>
      <c r="BB39" s="65">
        <f t="shared" si="20"/>
        <v>1.0046632954566989E-2</v>
      </c>
      <c r="BC39" s="65">
        <f t="shared" si="21"/>
        <v>2.7974740837246253E-2</v>
      </c>
      <c r="BD39" s="65">
        <f t="shared" si="22"/>
        <v>5.1245156886099339E-4</v>
      </c>
      <c r="BE39" s="65">
        <f t="shared" si="23"/>
        <v>4.8644858619511979E-3</v>
      </c>
      <c r="BF39" s="65">
        <f t="shared" si="24"/>
        <v>1.9604076182711385E-5</v>
      </c>
      <c r="BG39" s="65">
        <f t="shared" si="25"/>
        <v>6.76702539302664E-4</v>
      </c>
      <c r="BH39" s="65">
        <f t="shared" si="26"/>
        <v>5.9997053587993089E-7</v>
      </c>
    </row>
    <row r="40" spans="1:60" x14ac:dyDescent="0.3">
      <c r="A40" s="38"/>
      <c r="B40" s="62"/>
      <c r="C40" s="63"/>
      <c r="D40" s="86"/>
      <c r="E40" s="87"/>
      <c r="F40" s="87"/>
      <c r="G40" s="87"/>
      <c r="H40" s="87"/>
      <c r="I40" s="87"/>
      <c r="J40" s="87"/>
      <c r="K40" s="87"/>
      <c r="L40" s="87"/>
      <c r="M40" s="87"/>
      <c r="N40" s="87"/>
      <c r="O40" s="87"/>
      <c r="P40" s="87"/>
      <c r="Q40" s="87"/>
      <c r="R40" s="87"/>
      <c r="S40" s="87"/>
      <c r="T40" s="87"/>
      <c r="U40" s="76"/>
      <c r="V40" s="62"/>
      <c r="W40" s="63"/>
      <c r="X40" s="64"/>
      <c r="Y40" s="65"/>
      <c r="Z40" s="65"/>
      <c r="AA40" s="65"/>
      <c r="AB40" s="65"/>
      <c r="AC40" s="65"/>
      <c r="AD40" s="65"/>
      <c r="AE40" s="65"/>
      <c r="AF40" s="65"/>
      <c r="AG40" s="65"/>
      <c r="AH40" s="65"/>
      <c r="AI40" s="65"/>
      <c r="AJ40" s="65"/>
      <c r="AK40" s="65"/>
      <c r="AL40" s="65"/>
      <c r="AM40" s="65"/>
      <c r="AN40" s="65"/>
      <c r="AO40" s="76"/>
      <c r="AP40" s="62"/>
      <c r="AQ40" s="63"/>
      <c r="AR40" s="62"/>
      <c r="AS40" s="65"/>
      <c r="AT40" s="65"/>
      <c r="AU40" s="65"/>
      <c r="AV40" s="65"/>
      <c r="AW40" s="65"/>
      <c r="AX40" s="65"/>
      <c r="AY40" s="65"/>
      <c r="AZ40" s="65"/>
      <c r="BA40" s="76"/>
      <c r="BB40" s="62"/>
      <c r="BC40" s="63"/>
      <c r="BD40" s="16"/>
      <c r="BE40" s="65"/>
      <c r="BF40" s="65"/>
      <c r="BG40" s="65"/>
      <c r="BH40" s="65"/>
    </row>
    <row r="41" spans="1:60" x14ac:dyDescent="0.3">
      <c r="A41" s="38"/>
      <c r="B41" s="38"/>
      <c r="C41" s="38"/>
      <c r="D41" s="38"/>
      <c r="E41" s="38"/>
      <c r="F41" s="38"/>
      <c r="G41" s="38"/>
      <c r="H41" s="38"/>
      <c r="I41" s="65"/>
      <c r="J41" s="65"/>
      <c r="K41" s="38"/>
      <c r="L41" s="38"/>
      <c r="M41" s="38"/>
      <c r="N41" s="38"/>
      <c r="O41" s="38"/>
      <c r="P41" s="38"/>
      <c r="Q41" s="38"/>
      <c r="R41" s="38"/>
      <c r="S41" s="38"/>
      <c r="T41" s="38"/>
      <c r="U41" s="38"/>
      <c r="V41" s="38"/>
      <c r="W41" s="38"/>
      <c r="X41" s="38"/>
      <c r="Y41" s="38"/>
      <c r="Z41" s="38"/>
      <c r="AA41" s="38"/>
      <c r="AB41" s="38"/>
      <c r="AC41" s="38"/>
      <c r="AD41" s="38"/>
      <c r="AE41" s="38"/>
      <c r="AF41" s="38"/>
      <c r="AG41" s="38"/>
      <c r="AH41" s="38"/>
      <c r="AI41" s="38"/>
      <c r="AJ41" s="38"/>
      <c r="AK41" s="38"/>
      <c r="AL41" s="38"/>
      <c r="AM41" s="38"/>
      <c r="AN41" s="38"/>
      <c r="AO41" s="38"/>
      <c r="AP41" s="38"/>
      <c r="AQ41" s="38"/>
      <c r="AR41" s="38"/>
      <c r="AS41" s="38"/>
      <c r="AT41" s="38"/>
      <c r="AU41" s="38"/>
      <c r="AV41" s="38"/>
      <c r="AW41" s="38"/>
      <c r="AX41" s="38"/>
      <c r="AY41" s="38"/>
      <c r="AZ41" s="38"/>
      <c r="BA41" s="38"/>
      <c r="BB41" s="38"/>
      <c r="BC41" s="38"/>
      <c r="BD41" s="38"/>
      <c r="BE41" s="38"/>
      <c r="BF41" s="38"/>
      <c r="BG41" s="38"/>
      <c r="BH41" s="38"/>
    </row>
    <row r="42" spans="1:60" ht="42" customHeight="1" x14ac:dyDescent="0.3">
      <c r="A42" s="1387" t="s">
        <v>384</v>
      </c>
      <c r="B42" s="1387"/>
      <c r="C42" s="1387"/>
      <c r="D42" s="1387"/>
      <c r="E42" s="1387"/>
      <c r="F42" s="1387"/>
      <c r="G42" s="1387"/>
      <c r="H42" s="1387"/>
      <c r="I42" s="1387"/>
      <c r="J42" s="1387"/>
      <c r="K42" s="1387"/>
      <c r="L42" s="1387"/>
      <c r="M42" s="1387"/>
      <c r="N42" s="1387"/>
      <c r="O42" s="1387"/>
      <c r="P42" s="1387"/>
      <c r="Q42" s="1387"/>
      <c r="R42" s="1387"/>
      <c r="S42" s="1387"/>
      <c r="T42" s="1387"/>
      <c r="U42" s="1383" t="s">
        <v>385</v>
      </c>
      <c r="V42" s="1383"/>
      <c r="W42" s="1383"/>
      <c r="X42" s="1383"/>
      <c r="Y42" s="1383"/>
      <c r="Z42" s="1383"/>
      <c r="AA42" s="1383"/>
      <c r="AB42" s="1383"/>
      <c r="AC42" s="1383"/>
      <c r="AD42" s="1383"/>
      <c r="AE42" s="1383"/>
      <c r="AF42" s="1383"/>
      <c r="AG42" s="1383"/>
      <c r="AH42" s="1383"/>
      <c r="AI42" s="1383"/>
      <c r="AJ42" s="1383"/>
      <c r="AK42" s="1383"/>
      <c r="AL42" s="1383"/>
      <c r="AM42" s="1383"/>
      <c r="AN42" s="1383"/>
      <c r="AO42" s="1383" t="s">
        <v>386</v>
      </c>
      <c r="AP42" s="1383"/>
      <c r="AQ42" s="1383"/>
      <c r="AR42" s="1383"/>
      <c r="AS42" s="1383"/>
      <c r="AT42" s="1383"/>
      <c r="AU42" s="1383"/>
      <c r="AV42" s="1383"/>
      <c r="AW42" s="1383"/>
      <c r="AX42" s="1383"/>
      <c r="AY42" s="1383"/>
      <c r="AZ42" s="1383"/>
      <c r="BA42" s="1383"/>
      <c r="BB42" s="1383"/>
      <c r="BC42" s="1383"/>
      <c r="BD42" s="1383"/>
      <c r="BE42" s="1383"/>
      <c r="BF42" s="1383"/>
      <c r="BG42" s="1383"/>
      <c r="BH42" s="50"/>
    </row>
    <row r="43" spans="1:60" ht="80.400000000000006" thickBot="1" x14ac:dyDescent="0.35">
      <c r="A43" s="57"/>
      <c r="B43" s="88" t="s">
        <v>362</v>
      </c>
      <c r="C43" s="88" t="s">
        <v>363</v>
      </c>
      <c r="D43" s="89" t="s">
        <v>364</v>
      </c>
      <c r="E43" s="52" t="s">
        <v>365</v>
      </c>
      <c r="F43" s="52" t="s">
        <v>366</v>
      </c>
      <c r="G43" s="52" t="s">
        <v>367</v>
      </c>
      <c r="H43" s="53" t="s">
        <v>368</v>
      </c>
      <c r="I43" s="52" t="s">
        <v>382</v>
      </c>
      <c r="J43" s="52" t="s">
        <v>383</v>
      </c>
      <c r="K43" s="53" t="s">
        <v>371</v>
      </c>
      <c r="L43" s="53" t="s">
        <v>372</v>
      </c>
      <c r="M43" s="53" t="s">
        <v>373</v>
      </c>
      <c r="N43" s="53" t="s">
        <v>374</v>
      </c>
      <c r="O43" s="53" t="s">
        <v>375</v>
      </c>
      <c r="P43" s="53" t="s">
        <v>376</v>
      </c>
      <c r="Q43" s="53" t="s">
        <v>377</v>
      </c>
      <c r="R43" s="53" t="s">
        <v>378</v>
      </c>
      <c r="S43" s="53" t="s">
        <v>379</v>
      </c>
      <c r="T43" s="53" t="s">
        <v>380</v>
      </c>
      <c r="U43" s="57"/>
      <c r="V43" s="58" t="s">
        <v>362</v>
      </c>
      <c r="W43" s="58" t="s">
        <v>363</v>
      </c>
      <c r="X43" s="59" t="s">
        <v>364</v>
      </c>
      <c r="Y43" s="57" t="s">
        <v>365</v>
      </c>
      <c r="Z43" s="52" t="s">
        <v>366</v>
      </c>
      <c r="AA43" s="52" t="s">
        <v>367</v>
      </c>
      <c r="AB43" s="60" t="s">
        <v>368</v>
      </c>
      <c r="AC43" s="57" t="s">
        <v>382</v>
      </c>
      <c r="AD43" s="57" t="s">
        <v>383</v>
      </c>
      <c r="AE43" s="60" t="s">
        <v>371</v>
      </c>
      <c r="AF43" s="60" t="s">
        <v>372</v>
      </c>
      <c r="AG43" s="60" t="s">
        <v>373</v>
      </c>
      <c r="AH43" s="60" t="s">
        <v>374</v>
      </c>
      <c r="AI43" s="60" t="s">
        <v>375</v>
      </c>
      <c r="AJ43" s="60" t="s">
        <v>376</v>
      </c>
      <c r="AK43" s="60" t="s">
        <v>377</v>
      </c>
      <c r="AL43" s="60" t="s">
        <v>378</v>
      </c>
      <c r="AM43" s="60" t="s">
        <v>379</v>
      </c>
      <c r="AN43" s="60" t="s">
        <v>380</v>
      </c>
      <c r="AO43" s="57"/>
      <c r="AP43" s="58" t="s">
        <v>362</v>
      </c>
      <c r="AQ43" s="58" t="s">
        <v>363</v>
      </c>
      <c r="AR43" s="59" t="s">
        <v>364</v>
      </c>
      <c r="AS43" s="57" t="s">
        <v>365</v>
      </c>
      <c r="AT43" s="52" t="s">
        <v>366</v>
      </c>
      <c r="AU43" s="52" t="s">
        <v>367</v>
      </c>
      <c r="AV43" s="60" t="s">
        <v>368</v>
      </c>
      <c r="AW43" s="57" t="s">
        <v>382</v>
      </c>
      <c r="AX43" s="57" t="s">
        <v>383</v>
      </c>
      <c r="AY43" s="60" t="s">
        <v>371</v>
      </c>
      <c r="AZ43" s="60" t="s">
        <v>372</v>
      </c>
      <c r="BA43" s="60" t="s">
        <v>373</v>
      </c>
      <c r="BB43" s="60" t="s">
        <v>374</v>
      </c>
      <c r="BC43" s="60" t="s">
        <v>375</v>
      </c>
      <c r="BD43" s="60" t="s">
        <v>376</v>
      </c>
      <c r="BE43" s="60" t="s">
        <v>377</v>
      </c>
      <c r="BF43" s="60" t="s">
        <v>378</v>
      </c>
      <c r="BG43" s="60" t="s">
        <v>379</v>
      </c>
      <c r="BH43" s="60" t="s">
        <v>380</v>
      </c>
    </row>
    <row r="44" spans="1:60" ht="15" thickTop="1" x14ac:dyDescent="0.3">
      <c r="A44" s="57"/>
      <c r="B44" s="62">
        <f>ROUNDUP(1.84*($E$6/$O$13),0)</f>
        <v>8884</v>
      </c>
      <c r="C44" s="63">
        <v>30</v>
      </c>
      <c r="D44" s="64">
        <f>((C44^2)*3.1428)/1000000</f>
        <v>2.8285200000000002E-3</v>
      </c>
      <c r="E44" s="65">
        <f t="shared" ref="E44:E60" si="52">B44/(3494/$D44)</f>
        <v>7.1919209158557533E-3</v>
      </c>
      <c r="F44" s="65">
        <f>1*E44</f>
        <v>7.1919209158557533E-3</v>
      </c>
      <c r="G44" s="65">
        <f>1*($E44-($E44*0.78))</f>
        <v>1.5822226014882658E-3</v>
      </c>
      <c r="H44" s="65">
        <f t="shared" ref="H44:H60" si="53">EXP(-$E44)</f>
        <v>0.99283387905986165</v>
      </c>
      <c r="I44" s="65">
        <f>SUM(K44,M44,O44,Q44,S44)</f>
        <v>7.1661209401381156E-3</v>
      </c>
      <c r="J44" s="90">
        <f>SUM(L44,N44,P44,R44,T44)</f>
        <v>1.5809715472103756E-3</v>
      </c>
      <c r="K44" s="65">
        <f t="shared" ref="K44:K60" si="54">EXP(-$F44)*POWER($F44,1)</f>
        <v>7.1403827407808202E-3</v>
      </c>
      <c r="L44" s="65">
        <f t="shared" ref="L44:L60" si="55">EXP(-$G44)*POWER($G44,1)</f>
        <v>1.5797211525739596E-3</v>
      </c>
      <c r="M44" s="65">
        <f t="shared" ref="M44:M60" si="56">EXP(-$F44)*POWER($F44,2)/FACT(2)</f>
        <v>2.5676533990318505E-5</v>
      </c>
      <c r="N44" s="65">
        <f t="shared" ref="N44:N60" si="57">EXP(-$G44)*POWER($G44,2)/FACT(2)</f>
        <v>1.249735255825806E-6</v>
      </c>
      <c r="O44" s="65">
        <f t="shared" ref="O44:O60" si="58">EXP(-$F44)*POWER($F44,3)/FACT(3)</f>
        <v>6.1554533950550946E-8</v>
      </c>
      <c r="P44" s="65">
        <f t="shared" ref="P44:P60" si="59">EXP(-$G44)*POWER($G44,3)/FACT(3)</f>
        <v>6.5911978921477005E-10</v>
      </c>
      <c r="Q44" s="65">
        <f t="shared" ref="Q44:Q60" si="60">EXP(-$F44)*POWER($F44,4)/FACT(4)</f>
        <v>1.1067383504618012E-10</v>
      </c>
      <c r="R44" s="65">
        <f t="shared" ref="R44:R60" si="61">EXP(-$G44)*POWER($G44,4)/FACT(4)</f>
        <v>2.6071855689594773E-13</v>
      </c>
      <c r="S44" s="65">
        <f t="shared" ref="S44:S60" si="62">EXP(-$F44)*POWER($F44,5)/FACT(5)</f>
        <v>1.5919149382131846E-13</v>
      </c>
      <c r="T44" s="65">
        <f t="shared" ref="T44:T60" si="63">EXP(-$G44)*POWER($G44,5)/FACT(5)</f>
        <v>8.250295866963458E-17</v>
      </c>
      <c r="U44" s="68"/>
      <c r="V44" s="62">
        <f t="shared" ref="V44:V60" si="64">ROUNDUP($H$3/$O$13,0)</f>
        <v>2540</v>
      </c>
      <c r="W44" s="63">
        <v>30</v>
      </c>
      <c r="X44" s="62">
        <f t="shared" ref="X44:X60" si="65">((W44^2)*3.1428)/1000000</f>
        <v>2.8285200000000002E-3</v>
      </c>
      <c r="Y44" s="65">
        <f>V44/(839/$X44)</f>
        <v>8.5630998808104899E-3</v>
      </c>
      <c r="Z44" s="65">
        <f>1*$Y44</f>
        <v>8.5630998808104899E-3</v>
      </c>
      <c r="AA44" s="65">
        <f>1*($Y44-($Y44*0.78))</f>
        <v>1.8838819737783076E-3</v>
      </c>
      <c r="AB44" s="65">
        <f t="shared" ref="AB44:AB60" si="66">EXP(-$Z44)</f>
        <v>0.99147345903201067</v>
      </c>
      <c r="AC44" s="65">
        <f>SUM(AE44,AG44,AI44,AK44,AM44)</f>
        <v>8.526540967988815E-3</v>
      </c>
      <c r="AD44" s="65">
        <f>SUM(AF44,AH44,AJ44,AL44,AN44)</f>
        <v>1.8821085819278628E-3</v>
      </c>
      <c r="AE44" s="65">
        <f>EXP(-$Z44)*POWER($Z44,1)</f>
        <v>8.490086258863775E-3</v>
      </c>
      <c r="AF44" s="65">
        <f>EXP(-$AA44)*POWER($AA44,1)</f>
        <v>1.8803363033481203E-3</v>
      </c>
      <c r="AG44" s="65">
        <f t="shared" ref="AG44:AG60" si="67">EXP(-$Z44)*POWER($Z44,2)/FACT(2)</f>
        <v>3.6350728315673581E-5</v>
      </c>
      <c r="AH44" s="65">
        <f>EXP(-$AA44)*POWER($AA44,2)/FACT(2)</f>
        <v>1.7711658332592316E-6</v>
      </c>
      <c r="AI44" s="65">
        <f t="shared" ref="AI44:AI60" si="68">EXP(-$Z44)*POWER($Z44,3)/FACT(3)</f>
        <v>1.0375830576910632E-7</v>
      </c>
      <c r="AJ44" s="65">
        <f>EXP(-$AA44)*POWER($AA44,3)/FACT(3)</f>
        <v>1.1122224619497006E-9</v>
      </c>
      <c r="AK44" s="65">
        <f t="shared" ref="AK44:AK60" si="69">EXP(-$Z44)*POWER($Z44,4)/FACT(4)</f>
        <v>2.2212318394113313E-10</v>
      </c>
      <c r="AL44" s="65">
        <f>EXP(-$AA44)*POWER($AA44,4)/FACT(4)</f>
        <v>5.2382396172459264E-13</v>
      </c>
      <c r="AM44" s="65">
        <f t="shared" ref="AM44:AM60" si="70">EXP(-$Z44)*POWER($Z44,5)/FACT(5)</f>
        <v>3.8041260198631276E-13</v>
      </c>
      <c r="AN44" s="65">
        <f>EXP(-$AA44)*POWER($AA44,5)/FACT(5)</f>
        <v>1.9736450378521965E-16</v>
      </c>
      <c r="AO44" s="68"/>
      <c r="AP44" s="62">
        <f>ROUNDUP($H$5/$O$13,0)</f>
        <v>1044</v>
      </c>
      <c r="AQ44" s="63">
        <v>30</v>
      </c>
      <c r="AR44" s="64">
        <f t="shared" ref="AR44:AR60" si="71">((AQ44^2)*3.1428)/1000000</f>
        <v>2.8285200000000002E-3</v>
      </c>
      <c r="AS44" s="65">
        <f t="shared" ref="AS44:AS60" si="72">AP44/(1458/$AR44)</f>
        <v>2.0253599999999999E-3</v>
      </c>
      <c r="AT44" s="65">
        <f>1*AS44</f>
        <v>2.0253599999999999E-3</v>
      </c>
      <c r="AU44" s="65">
        <f>1*($AS44-($AS44*0.78))</f>
        <v>4.4557919999999984E-4</v>
      </c>
      <c r="AV44" s="65">
        <f t="shared" ref="AV44:AV60" si="73">EXP(-$AT44)</f>
        <v>0.99797668965756647</v>
      </c>
      <c r="AW44" s="65">
        <f>SUM(AY44,BA44,BC44,BE44,BG44)</f>
        <v>2.0233103424335359E-3</v>
      </c>
      <c r="AX44" s="65">
        <f>SUM(AZ44,BB44,BD44,BF44,BH44)</f>
        <v>4.4547994433089818E-4</v>
      </c>
      <c r="AY44" s="65">
        <f t="shared" ref="AY44:AY60" si="74">EXP(-$AT44)*POWER($AT44,1)</f>
        <v>2.0212620681648486E-3</v>
      </c>
      <c r="AZ44" s="65">
        <f t="shared" ref="AZ44:AZ60" si="75">EXP(-$AU44)*POWER($AU44,1)</f>
        <v>4.4538070340278886E-4</v>
      </c>
      <c r="BA44" s="65">
        <f t="shared" ref="BA44:BA60" si="76">EXP(-$AT44)*POWER($AT44,2)/FACT(2)</f>
        <v>2.0468916711891787E-6</v>
      </c>
      <c r="BB44" s="65">
        <f t="shared" ref="BB44:BB60" si="77">EXP(-$AU44)*POWER($AU44,2)/FACT(2)</f>
        <v>9.9226188758825926E-8</v>
      </c>
      <c r="BC44" s="65">
        <f t="shared" ref="BC44:BC60" si="78">EXP(-$AT44)*POWER($AT44,3)/FACT(3)</f>
        <v>1.3818975050532383E-9</v>
      </c>
      <c r="BD44" s="65">
        <f t="shared" ref="BD44:BD60" si="79">EXP(-$AU44)*POWER($AU44,3)/FACT(3)</f>
        <v>1.4737708602068877E-11</v>
      </c>
      <c r="BE44" s="65">
        <f t="shared" ref="BE44:BE60" si="80">EXP(-$AT44)*POWER($AT44,4)/FACT(4)</f>
        <v>6.9970998270865662E-13</v>
      </c>
      <c r="BF44" s="65">
        <f t="shared" ref="BF44:BF60" si="81">EXP(-$AU44)*POWER($AU44,4)/FACT(4)</f>
        <v>1.6417041021857418E-15</v>
      </c>
      <c r="BG44" s="65">
        <f t="shared" ref="BG44:BG60" si="82">EXP(-$AT44)*POWER($AT44,5)/FACT(5)</f>
        <v>2.8343292211576091E-16</v>
      </c>
      <c r="BH44" s="65">
        <f t="shared" ref="BH44:BH60" si="83">EXP(-$AU44)*POWER($AU44,5)/FACT(5)</f>
        <v>1.4630184009772816E-19</v>
      </c>
    </row>
    <row r="45" spans="1:60" x14ac:dyDescent="0.3">
      <c r="A45" s="57"/>
      <c r="B45" s="62">
        <f t="shared" ref="B45:B60" si="84">ROUNDUP(1.84*($E$6/$O$13),0)</f>
        <v>8884</v>
      </c>
      <c r="C45" s="63">
        <v>60</v>
      </c>
      <c r="D45" s="64">
        <f t="shared" ref="D45:D60" si="85">((C45^2)*3.1428)/1000000</f>
        <v>1.1314080000000001E-2</v>
      </c>
      <c r="E45" s="65">
        <f t="shared" si="52"/>
        <v>2.8767683663423013E-2</v>
      </c>
      <c r="F45" s="65">
        <f t="shared" ref="F45:F60" si="86">1*E45</f>
        <v>2.8767683663423013E-2</v>
      </c>
      <c r="G45" s="65">
        <f t="shared" ref="G45:G60" si="87">1*($E45-($E45*0.78))</f>
        <v>6.328890405953063E-3</v>
      </c>
      <c r="H45" s="65">
        <f t="shared" si="53"/>
        <v>0.97164216659705116</v>
      </c>
      <c r="I45" s="65">
        <f t="shared" ref="I45:J59" si="88">SUM(K45,M45,O45,Q45,S45)</f>
        <v>2.8357833402180732E-2</v>
      </c>
      <c r="J45" s="90">
        <f t="shared" si="88"/>
        <v>6.308905162765872E-3</v>
      </c>
      <c r="K45" s="65">
        <f t="shared" si="54"/>
        <v>2.7951894482706931E-2</v>
      </c>
      <c r="L45" s="65">
        <f t="shared" si="55"/>
        <v>6.2889620365963661E-3</v>
      </c>
      <c r="M45" s="65">
        <f t="shared" si="56"/>
        <v>4.0205562913594604E-4</v>
      </c>
      <c r="N45" s="65">
        <f t="shared" si="57"/>
        <v>1.990107574840889E-5</v>
      </c>
      <c r="O45" s="65">
        <f t="shared" si="58"/>
        <v>3.8554030513604715E-6</v>
      </c>
      <c r="P45" s="65">
        <f t="shared" si="59"/>
        <v>4.1983909124083393E-8</v>
      </c>
      <c r="Q45" s="65">
        <f t="shared" si="60"/>
        <v>2.7727753844133473E-8</v>
      </c>
      <c r="R45" s="65">
        <f t="shared" si="61"/>
        <v>6.6427889914954182E-11</v>
      </c>
      <c r="S45" s="65">
        <f t="shared" si="62"/>
        <v>1.5953265025705864E-10</v>
      </c>
      <c r="T45" s="65">
        <f t="shared" si="63"/>
        <v>8.4082967034091964E-14</v>
      </c>
      <c r="U45" s="68"/>
      <c r="V45" s="62">
        <f t="shared" si="64"/>
        <v>2540</v>
      </c>
      <c r="W45" s="63">
        <v>60</v>
      </c>
      <c r="X45" s="62">
        <f t="shared" si="65"/>
        <v>1.1314080000000001E-2</v>
      </c>
      <c r="Y45" s="65">
        <f t="shared" ref="Y45:Y60" si="89">V45/(839/$X45)</f>
        <v>3.425239952324196E-2</v>
      </c>
      <c r="Z45" s="65">
        <f t="shared" ref="Z45:Z60" si="90">1*$Y45</f>
        <v>3.425239952324196E-2</v>
      </c>
      <c r="AA45" s="65">
        <f t="shared" ref="AA45:AA60" si="91">1*($Y45-($Y45*0.78))</f>
        <v>7.5355278951132303E-3</v>
      </c>
      <c r="AB45" s="65">
        <f t="shared" si="66"/>
        <v>0.96632757323593654</v>
      </c>
      <c r="AC45" s="65">
        <f t="shared" ref="AC45:AD59" si="92">SUM(AE45,AG45,AI45,AK45,AM45)</f>
        <v>3.3672426761885359E-2</v>
      </c>
      <c r="AD45" s="65">
        <f t="shared" si="92"/>
        <v>7.5072069870972848E-3</v>
      </c>
      <c r="AE45" s="65">
        <f t="shared" ref="AE45:AE60" si="93">EXP(-$Z45)*POWER($Z45,1)</f>
        <v>3.3099038108802152E-2</v>
      </c>
      <c r="AF45" s="65">
        <f t="shared" ref="AF45:AF60" si="94">EXP(-$AA45)*POWER($AA45,1)</f>
        <v>7.4789571274475677E-3</v>
      </c>
      <c r="AG45" s="65">
        <f t="shared" si="67"/>
        <v>5.6686073856885113E-4</v>
      </c>
      <c r="AH45" s="65">
        <f t="shared" ref="AH45:AH60" si="95">EXP(-$AA45)*POWER($AA45,2)/FACT(2)</f>
        <v>2.8178945030118532E-5</v>
      </c>
      <c r="AI45" s="65">
        <f t="shared" si="68"/>
        <v>6.4721134971667676E-6</v>
      </c>
      <c r="AJ45" s="65">
        <f t="shared" ref="AJ45:AJ60" si="96">EXP(-$AA45)*POWER($AA45,3)/FACT(3)</f>
        <v>7.0781075443106835E-8</v>
      </c>
      <c r="AK45" s="65">
        <f t="shared" si="69"/>
        <v>5.5421354316180694E-8</v>
      </c>
      <c r="AL45" s="65">
        <f t="shared" ref="AL45:AL60" si="97">EXP(-$AA45)*POWER($AA45,4)/FACT(4)</f>
        <v>1.3334319211191142E-10</v>
      </c>
      <c r="AM45" s="65">
        <f t="shared" si="70"/>
        <v>3.796628740313943E-10</v>
      </c>
      <c r="AN45" s="65">
        <f t="shared" ref="AN45:AN60" si="98">EXP(-$AA45)*POWER($AA45,5)/FACT(5)</f>
        <v>2.0096226875655018E-13</v>
      </c>
      <c r="AO45" s="68"/>
      <c r="AP45" s="62">
        <f t="shared" ref="AP45:AP60" si="99">ROUNDUP($H$5/$O$13,0)</f>
        <v>1044</v>
      </c>
      <c r="AQ45" s="63">
        <v>60</v>
      </c>
      <c r="AR45" s="64">
        <f t="shared" si="71"/>
        <v>1.1314080000000001E-2</v>
      </c>
      <c r="AS45" s="65">
        <f t="shared" si="72"/>
        <v>8.1014399999999997E-3</v>
      </c>
      <c r="AT45" s="65">
        <f t="shared" ref="AT45:AT60" si="100">1*AS45</f>
        <v>8.1014399999999997E-3</v>
      </c>
      <c r="AU45" s="65">
        <f t="shared" ref="AU45:AU59" si="101">1*($AS45-($AS45*0.78))</f>
        <v>1.7823167999999993E-3</v>
      </c>
      <c r="AV45" s="65">
        <f t="shared" si="73"/>
        <v>0.99193128822348764</v>
      </c>
      <c r="AW45" s="65">
        <f t="shared" ref="AW45:AX58" si="102">SUM(AY45,BA45,BC45,BE45,BG45)</f>
        <v>8.0687117765119217E-3</v>
      </c>
      <c r="AX45" s="65">
        <f t="shared" si="102"/>
        <v>1.7807294166256248E-3</v>
      </c>
      <c r="AY45" s="65">
        <f t="shared" si="74"/>
        <v>8.0360718156652911E-3</v>
      </c>
      <c r="AZ45" s="65">
        <f t="shared" si="75"/>
        <v>1.7791429760444933E-3</v>
      </c>
      <c r="BA45" s="65">
        <f t="shared" si="76"/>
        <v>3.2551876825151705E-5</v>
      </c>
      <c r="BB45" s="65">
        <f t="shared" si="77"/>
        <v>1.5854982079030484E-6</v>
      </c>
      <c r="BC45" s="65">
        <f t="shared" si="78"/>
        <v>8.7905692328785673E-8</v>
      </c>
      <c r="BD45" s="65">
        <f t="shared" si="79"/>
        <v>9.4195336410516494E-10</v>
      </c>
      <c r="BE45" s="65">
        <f t="shared" si="80"/>
        <v>1.7804067301502931E-10</v>
      </c>
      <c r="BF45" s="65">
        <f t="shared" si="81"/>
        <v>4.19714826415288E-13</v>
      </c>
      <c r="BG45" s="65">
        <f t="shared" si="82"/>
        <v>2.8847716599817582E-13</v>
      </c>
      <c r="BH45" s="65">
        <f t="shared" si="83"/>
        <v>1.4961295726581029E-16</v>
      </c>
    </row>
    <row r="46" spans="1:60" x14ac:dyDescent="0.3">
      <c r="A46" s="76"/>
      <c r="B46" s="62">
        <f t="shared" si="84"/>
        <v>8884</v>
      </c>
      <c r="C46" s="73">
        <v>90</v>
      </c>
      <c r="D46" s="64">
        <f t="shared" si="85"/>
        <v>2.5456679999999999E-2</v>
      </c>
      <c r="E46" s="65">
        <f t="shared" si="52"/>
        <v>6.4727288242701769E-2</v>
      </c>
      <c r="F46" s="65">
        <f t="shared" si="86"/>
        <v>6.4727288242701769E-2</v>
      </c>
      <c r="G46" s="65">
        <f t="shared" si="87"/>
        <v>1.4240003413394389E-2</v>
      </c>
      <c r="H46" s="65">
        <f t="shared" si="53"/>
        <v>0.93732304754086726</v>
      </c>
      <c r="I46" s="74">
        <f t="shared" si="88"/>
        <v>6.2676952362502966E-2</v>
      </c>
      <c r="J46" s="90">
        <f t="shared" si="88"/>
        <v>1.4139094115544391E-2</v>
      </c>
      <c r="K46" s="65">
        <f t="shared" si="54"/>
        <v>6.067037907470537E-2</v>
      </c>
      <c r="L46" s="65">
        <f t="shared" si="55"/>
        <v>1.4038662664926571E-2</v>
      </c>
      <c r="M46" s="65">
        <f t="shared" si="56"/>
        <v>1.9635145570812179E-3</v>
      </c>
      <c r="N46" s="65">
        <f t="shared" si="57"/>
        <v>9.9955302134023354E-5</v>
      </c>
      <c r="O46" s="65">
        <f t="shared" si="58"/>
        <v>4.2364324234978963E-5</v>
      </c>
      <c r="P46" s="65">
        <f t="shared" si="59"/>
        <v>4.7445461452512001E-7</v>
      </c>
      <c r="Q46" s="65">
        <f t="shared" si="60"/>
        <v>6.8553195649118977E-7</v>
      </c>
      <c r="R46" s="65">
        <f t="shared" si="61"/>
        <v>1.689058832584607E-9</v>
      </c>
      <c r="S46" s="65">
        <f t="shared" si="62"/>
        <v>8.8745249094777056E-9</v>
      </c>
      <c r="T46" s="65">
        <f t="shared" si="63"/>
        <v>4.8104407082857485E-12</v>
      </c>
      <c r="U46" s="68"/>
      <c r="V46" s="62">
        <f t="shared" si="64"/>
        <v>2540</v>
      </c>
      <c r="W46" s="73">
        <v>90</v>
      </c>
      <c r="X46" s="62">
        <f t="shared" si="65"/>
        <v>2.5456679999999999E-2</v>
      </c>
      <c r="Y46" s="65">
        <f t="shared" si="89"/>
        <v>7.7067898927294404E-2</v>
      </c>
      <c r="Z46" s="65">
        <f t="shared" si="90"/>
        <v>7.7067898927294404E-2</v>
      </c>
      <c r="AA46" s="65">
        <f t="shared" si="91"/>
        <v>1.6954937764004765E-2</v>
      </c>
      <c r="AB46" s="65">
        <f t="shared" si="66"/>
        <v>0.92582698881289294</v>
      </c>
      <c r="AC46" s="74">
        <f t="shared" si="92"/>
        <v>7.4173010914686643E-2</v>
      </c>
      <c r="AD46" s="65">
        <f t="shared" si="92"/>
        <v>1.6812011714120317E-2</v>
      </c>
      <c r="AE46" s="65">
        <f t="shared" si="93"/>
        <v>7.1351540797993357E-2</v>
      </c>
      <c r="AF46" s="65">
        <f t="shared" si="94"/>
        <v>1.6669891151703586E-2</v>
      </c>
      <c r="AG46" s="65">
        <f t="shared" si="67"/>
        <v>2.7494566672632377E-3</v>
      </c>
      <c r="AH46" s="65">
        <f t="shared" si="95"/>
        <v>1.4131848350493401E-4</v>
      </c>
      <c r="AI46" s="65">
        <f t="shared" si="68"/>
        <v>7.06316161792063E-5</v>
      </c>
      <c r="AJ46" s="65">
        <f t="shared" si="96"/>
        <v>7.9868203090989667E-7</v>
      </c>
      <c r="AK46" s="65">
        <f t="shared" si="69"/>
        <v>1.3608575641926309E-6</v>
      </c>
      <c r="AL46" s="65">
        <f t="shared" si="97"/>
        <v>3.3854010318265572E-9</v>
      </c>
      <c r="AM46" s="65">
        <f t="shared" si="70"/>
        <v>2.0975686642328345E-8</v>
      </c>
      <c r="AN46" s="65">
        <f t="shared" si="98"/>
        <v>1.1479852760163359E-11</v>
      </c>
      <c r="AO46" s="68"/>
      <c r="AP46" s="62">
        <f t="shared" si="99"/>
        <v>1044</v>
      </c>
      <c r="AQ46" s="63">
        <v>90</v>
      </c>
      <c r="AR46" s="64">
        <f t="shared" si="71"/>
        <v>2.5456679999999999E-2</v>
      </c>
      <c r="AS46" s="65">
        <f t="shared" si="72"/>
        <v>1.822824E-2</v>
      </c>
      <c r="AT46" s="65">
        <f t="shared" si="100"/>
        <v>1.822824E-2</v>
      </c>
      <c r="AU46" s="65">
        <f t="shared" si="101"/>
        <v>4.0102127999999994E-3</v>
      </c>
      <c r="AV46" s="65">
        <f t="shared" si="73"/>
        <v>0.98193688950443081</v>
      </c>
      <c r="AW46" s="65">
        <f t="shared" si="102"/>
        <v>1.8063110495519064E-2</v>
      </c>
      <c r="AX46" s="65">
        <f t="shared" si="102"/>
        <v>4.0021826344598154E-3</v>
      </c>
      <c r="AY46" s="65">
        <f t="shared" si="74"/>
        <v>1.7898981286740244E-2</v>
      </c>
      <c r="AZ46" s="65">
        <f t="shared" si="75"/>
        <v>3.9941631959713505E-3</v>
      </c>
      <c r="BA46" s="65">
        <f t="shared" si="76"/>
        <v>1.6313346332510499E-4</v>
      </c>
      <c r="BB46" s="65">
        <f t="shared" si="77"/>
        <v>8.0087221868866087E-6</v>
      </c>
      <c r="BC46" s="65">
        <f t="shared" si="78"/>
        <v>9.9121197384040412E-7</v>
      </c>
      <c r="BD46" s="65">
        <f t="shared" si="79"/>
        <v>1.0705560075165554E-8</v>
      </c>
      <c r="BE46" s="65">
        <f t="shared" si="80"/>
        <v>4.5170124375091516E-9</v>
      </c>
      <c r="BF46" s="65">
        <f t="shared" si="81"/>
        <v>1.0732893511149464E-11</v>
      </c>
      <c r="BG46" s="65">
        <f t="shared" si="82"/>
        <v>1.6467437358780362E-11</v>
      </c>
      <c r="BH46" s="65">
        <f t="shared" si="83"/>
        <v>8.6082373878897049E-15</v>
      </c>
    </row>
    <row r="47" spans="1:60" x14ac:dyDescent="0.3">
      <c r="A47" s="38"/>
      <c r="B47" s="62">
        <f t="shared" si="84"/>
        <v>8884</v>
      </c>
      <c r="C47" s="63">
        <v>120</v>
      </c>
      <c r="D47" s="64">
        <f t="shared" si="85"/>
        <v>4.5256320000000003E-2</v>
      </c>
      <c r="E47" s="65">
        <f t="shared" si="52"/>
        <v>0.11507073465369205</v>
      </c>
      <c r="F47" s="65">
        <f t="shared" si="86"/>
        <v>0.11507073465369205</v>
      </c>
      <c r="G47" s="65">
        <f t="shared" si="87"/>
        <v>2.5315561623812252E-2</v>
      </c>
      <c r="H47" s="65">
        <f t="shared" si="53"/>
        <v>0.89130309566120347</v>
      </c>
      <c r="I47" s="65">
        <f t="shared" si="88"/>
        <v>0.10869690141689387</v>
      </c>
      <c r="J47" s="90">
        <f t="shared" si="88"/>
        <v>2.4997809795716582E-2</v>
      </c>
      <c r="K47" s="65">
        <f t="shared" si="54"/>
        <v>0.10256290201684465</v>
      </c>
      <c r="L47" s="65">
        <f t="shared" si="55"/>
        <v>2.4682728029459394E-2</v>
      </c>
      <c r="M47" s="65">
        <f t="shared" si="56"/>
        <v>5.9009942416464742E-3</v>
      </c>
      <c r="N47" s="65">
        <f t="shared" si="57"/>
        <v>3.1242856123678866E-4</v>
      </c>
      <c r="O47" s="65">
        <f t="shared" si="58"/>
        <v>2.2634391419115536E-4</v>
      </c>
      <c r="P47" s="65">
        <f t="shared" si="59"/>
        <v>2.6364348316763076E-6</v>
      </c>
      <c r="Q47" s="65">
        <f t="shared" si="60"/>
        <v>6.5113901225921213E-6</v>
      </c>
      <c r="R47" s="65">
        <f t="shared" si="61"/>
        <v>1.6685707112116663E-8</v>
      </c>
      <c r="S47" s="65">
        <f t="shared" si="62"/>
        <v>1.498540890046939E-7</v>
      </c>
      <c r="T47" s="65">
        <f t="shared" si="63"/>
        <v>8.4481609326734358E-11</v>
      </c>
      <c r="U47" s="38"/>
      <c r="V47" s="62">
        <f t="shared" si="64"/>
        <v>2540</v>
      </c>
      <c r="W47" s="63">
        <v>120</v>
      </c>
      <c r="X47" s="62">
        <f t="shared" si="65"/>
        <v>4.5256320000000003E-2</v>
      </c>
      <c r="Y47" s="65">
        <f t="shared" si="89"/>
        <v>0.13700959809296784</v>
      </c>
      <c r="Z47" s="65">
        <f t="shared" si="90"/>
        <v>0.13700959809296784</v>
      </c>
      <c r="AA47" s="65">
        <f t="shared" si="91"/>
        <v>3.0142111580452921E-2</v>
      </c>
      <c r="AB47" s="65">
        <f t="shared" si="66"/>
        <v>0.87196185692097816</v>
      </c>
      <c r="AC47" s="65">
        <f t="shared" si="92"/>
        <v>0.12803813490879437</v>
      </c>
      <c r="AD47" s="65">
        <f t="shared" si="92"/>
        <v>2.9692368200042948E-2</v>
      </c>
      <c r="AE47" s="65">
        <f t="shared" si="93"/>
        <v>0.11946714356914115</v>
      </c>
      <c r="AF47" s="65">
        <f t="shared" si="94"/>
        <v>2.9247120905048739E-2</v>
      </c>
      <c r="AG47" s="65">
        <f t="shared" si="67"/>
        <v>8.1840726628614573E-3</v>
      </c>
      <c r="AH47" s="65">
        <f t="shared" si="95"/>
        <v>4.4078499086348816E-4</v>
      </c>
      <c r="AI47" s="65">
        <f t="shared" si="68"/>
        <v>3.7376550210076447E-4</v>
      </c>
      <c r="AJ47" s="65">
        <f t="shared" si="96"/>
        <v>4.4287301258653936E-6</v>
      </c>
      <c r="AK47" s="65">
        <f t="shared" si="69"/>
        <v>1.2802365305960514E-5</v>
      </c>
      <c r="AL47" s="65">
        <f t="shared" si="97"/>
        <v>3.3372819403387003E-8</v>
      </c>
      <c r="AM47" s="65">
        <f t="shared" si="70"/>
        <v>3.5080938504180102E-7</v>
      </c>
      <c r="AN47" s="65">
        <f t="shared" si="98"/>
        <v>2.0118544924223902E-10</v>
      </c>
      <c r="AO47" s="38"/>
      <c r="AP47" s="62">
        <f t="shared" si="99"/>
        <v>1044</v>
      </c>
      <c r="AQ47" s="63">
        <v>120</v>
      </c>
      <c r="AR47" s="64">
        <f t="shared" si="71"/>
        <v>4.5256320000000003E-2</v>
      </c>
      <c r="AS47" s="65">
        <f t="shared" si="72"/>
        <v>3.2405759999999999E-2</v>
      </c>
      <c r="AT47" s="65">
        <f t="shared" si="100"/>
        <v>3.2405759999999999E-2</v>
      </c>
      <c r="AU47" s="65">
        <f t="shared" si="101"/>
        <v>7.1292671999999974E-3</v>
      </c>
      <c r="AV47" s="65">
        <f t="shared" si="73"/>
        <v>0.96811368056570279</v>
      </c>
      <c r="AW47" s="65">
        <f t="shared" si="102"/>
        <v>3.1886319432732783E-2</v>
      </c>
      <c r="AX47" s="65">
        <f t="shared" si="102"/>
        <v>7.1039142596680486E-3</v>
      </c>
      <c r="AY47" s="65">
        <f t="shared" si="74"/>
        <v>3.1372459585128826E-2</v>
      </c>
      <c r="AZ47" s="65">
        <f t="shared" si="75"/>
        <v>7.0786214970769319E-3</v>
      </c>
      <c r="BA47" s="65">
        <f t="shared" si="76"/>
        <v>5.0832419796269213E-4</v>
      </c>
      <c r="BB47" s="65">
        <f t="shared" si="77"/>
        <v>2.5232692030162726E-5</v>
      </c>
      <c r="BC47" s="65">
        <f t="shared" si="78"/>
        <v>5.4908773204571633E-6</v>
      </c>
      <c r="BD47" s="65">
        <f t="shared" si="79"/>
        <v>5.9963534552780144E-8</v>
      </c>
      <c r="BE47" s="65">
        <f t="shared" si="80"/>
        <v>4.4484013159044475E-8</v>
      </c>
      <c r="BF47" s="65">
        <f t="shared" si="81"/>
        <v>1.0687401502080052E-10</v>
      </c>
      <c r="BG47" s="65">
        <f t="shared" si="82"/>
        <v>2.8830765085376737E-10</v>
      </c>
      <c r="BH47" s="65">
        <f t="shared" si="83"/>
        <v>1.5238668196402004E-13</v>
      </c>
    </row>
    <row r="48" spans="1:60" x14ac:dyDescent="0.3">
      <c r="A48" s="91"/>
      <c r="B48" s="62">
        <f t="shared" si="84"/>
        <v>8884</v>
      </c>
      <c r="C48" s="63">
        <v>150</v>
      </c>
      <c r="D48" s="64">
        <f t="shared" si="85"/>
        <v>7.0712999999999998E-2</v>
      </c>
      <c r="E48" s="65">
        <f t="shared" si="52"/>
        <v>0.17979802289639379</v>
      </c>
      <c r="F48" s="65">
        <f t="shared" si="86"/>
        <v>0.17979802289639379</v>
      </c>
      <c r="G48" s="65">
        <f t="shared" si="87"/>
        <v>3.9555565037206641E-2</v>
      </c>
      <c r="H48" s="65">
        <f t="shared" si="53"/>
        <v>0.83543893390776836</v>
      </c>
      <c r="I48" s="65">
        <f t="shared" si="88"/>
        <v>0.16456102586175275</v>
      </c>
      <c r="J48" s="90">
        <f t="shared" si="88"/>
        <v>3.8783457521097978E-2</v>
      </c>
      <c r="K48" s="65">
        <f t="shared" si="54"/>
        <v>0.15021026856728775</v>
      </c>
      <c r="L48" s="65">
        <f t="shared" si="55"/>
        <v>3.8021463460659689E-2</v>
      </c>
      <c r="M48" s="65">
        <f t="shared" si="56"/>
        <v>1.3503754653567332E-2</v>
      </c>
      <c r="N48" s="65">
        <f t="shared" si="57"/>
        <v>7.5198023536395008E-4</v>
      </c>
      <c r="O48" s="65">
        <f t="shared" si="58"/>
        <v>8.0931612946312786E-4</v>
      </c>
      <c r="P48" s="65">
        <f t="shared" si="59"/>
        <v>9.9150010355442284E-6</v>
      </c>
      <c r="Q48" s="65">
        <f t="shared" si="60"/>
        <v>3.6378359993908066E-5</v>
      </c>
      <c r="R48" s="65">
        <f t="shared" si="61"/>
        <v>9.8048367076360245E-8</v>
      </c>
      <c r="S48" s="65">
        <f t="shared" si="62"/>
        <v>1.3081514406235876E-6</v>
      </c>
      <c r="T48" s="65">
        <f t="shared" si="63"/>
        <v>7.7567171213617557E-10</v>
      </c>
      <c r="U48" s="76"/>
      <c r="V48" s="62">
        <f t="shared" si="64"/>
        <v>2540</v>
      </c>
      <c r="W48" s="63">
        <v>150</v>
      </c>
      <c r="X48" s="62">
        <f t="shared" si="65"/>
        <v>7.0712999999999998E-2</v>
      </c>
      <c r="Y48" s="65">
        <f t="shared" si="89"/>
        <v>0.21407749702026221</v>
      </c>
      <c r="Z48" s="65">
        <f t="shared" si="90"/>
        <v>0.21407749702026221</v>
      </c>
      <c r="AA48" s="65">
        <f t="shared" si="91"/>
        <v>4.7097049344457687E-2</v>
      </c>
      <c r="AB48" s="65">
        <f t="shared" si="66"/>
        <v>0.80728582035284779</v>
      </c>
      <c r="AC48" s="65">
        <f t="shared" si="92"/>
        <v>0.1927140683313526</v>
      </c>
      <c r="AD48" s="65">
        <f t="shared" si="92"/>
        <v>4.6005191458635603E-2</v>
      </c>
      <c r="AE48" s="65">
        <f t="shared" si="93"/>
        <v>0.17282172780108671</v>
      </c>
      <c r="AF48" s="65">
        <f t="shared" si="94"/>
        <v>4.4930340571543458E-2</v>
      </c>
      <c r="AG48" s="65">
        <f t="shared" si="67"/>
        <v>1.8498621459186855E-2</v>
      </c>
      <c r="AH48" s="65">
        <f t="shared" si="95"/>
        <v>1.0580432334806357E-3</v>
      </c>
      <c r="AI48" s="65">
        <f t="shared" si="68"/>
        <v>1.320046193436011E-3</v>
      </c>
      <c r="AJ48" s="65">
        <f t="shared" si="96"/>
        <v>1.6610238125269024E-5</v>
      </c>
      <c r="AK48" s="65">
        <f t="shared" si="69"/>
        <v>7.064804626047652E-5</v>
      </c>
      <c r="AL48" s="65">
        <f t="shared" si="97"/>
        <v>1.9557330115224687E-7</v>
      </c>
      <c r="AM48" s="65">
        <f t="shared" si="70"/>
        <v>3.024831382562902E-6</v>
      </c>
      <c r="AN48" s="65">
        <f t="shared" si="98"/>
        <v>1.842185082965171E-9</v>
      </c>
      <c r="AO48" s="76"/>
      <c r="AP48" s="62">
        <f t="shared" si="99"/>
        <v>1044</v>
      </c>
      <c r="AQ48" s="63">
        <v>150</v>
      </c>
      <c r="AR48" s="64">
        <f t="shared" si="71"/>
        <v>7.0712999999999998E-2</v>
      </c>
      <c r="AS48" s="65">
        <f t="shared" si="72"/>
        <v>5.0633999999999998E-2</v>
      </c>
      <c r="AT48" s="65">
        <f t="shared" si="100"/>
        <v>5.0633999999999998E-2</v>
      </c>
      <c r="AU48" s="65">
        <f t="shared" si="101"/>
        <v>1.113948E-2</v>
      </c>
      <c r="AV48" s="65">
        <f t="shared" si="73"/>
        <v>0.95062653618137238</v>
      </c>
      <c r="AW48" s="65">
        <f t="shared" si="102"/>
        <v>4.9373463796215655E-2</v>
      </c>
      <c r="AX48" s="65">
        <f t="shared" si="102"/>
        <v>1.1077665731838691E-2</v>
      </c>
      <c r="AY48" s="65">
        <f t="shared" si="74"/>
        <v>4.8134024033007608E-2</v>
      </c>
      <c r="AZ48" s="65">
        <f t="shared" si="75"/>
        <v>1.1016080564133468E-2</v>
      </c>
      <c r="BA48" s="65">
        <f t="shared" si="76"/>
        <v>1.2186090864436535E-3</v>
      </c>
      <c r="BB48" s="65">
        <f t="shared" si="77"/>
        <v>6.1356704561276739E-5</v>
      </c>
      <c r="BC48" s="65">
        <f t="shared" si="78"/>
        <v>2.0567684160995985E-5</v>
      </c>
      <c r="BD48" s="65">
        <f t="shared" si="79"/>
        <v>2.2782726110875033E-7</v>
      </c>
      <c r="BE48" s="65">
        <f t="shared" si="80"/>
        <v>2.6035602995196766E-7</v>
      </c>
      <c r="BF48" s="65">
        <f t="shared" si="81"/>
        <v>6.3446930464392551E-10</v>
      </c>
      <c r="BG48" s="65">
        <f t="shared" si="82"/>
        <v>2.6365734441175857E-9</v>
      </c>
      <c r="BH48" s="65">
        <f t="shared" si="83"/>
        <v>1.4135316259389831E-12</v>
      </c>
    </row>
    <row r="49" spans="1:60" x14ac:dyDescent="0.3">
      <c r="A49" s="91"/>
      <c r="B49" s="62">
        <f t="shared" si="84"/>
        <v>8884</v>
      </c>
      <c r="C49" s="63">
        <v>180</v>
      </c>
      <c r="D49" s="64">
        <f t="shared" si="85"/>
        <v>0.10182672</v>
      </c>
      <c r="E49" s="65">
        <f t="shared" si="52"/>
        <v>0.25890915297080708</v>
      </c>
      <c r="F49" s="65">
        <f t="shared" si="86"/>
        <v>0.25890915297080708</v>
      </c>
      <c r="G49" s="65">
        <f t="shared" si="87"/>
        <v>5.6960013653577557E-2</v>
      </c>
      <c r="H49" s="65">
        <f t="shared" si="53"/>
        <v>0.77189314405750442</v>
      </c>
      <c r="I49" s="65">
        <f t="shared" si="88"/>
        <v>0.22810652066974871</v>
      </c>
      <c r="J49" s="90">
        <f t="shared" si="88"/>
        <v>5.5368158967446145E-2</v>
      </c>
      <c r="K49" s="65">
        <f t="shared" si="54"/>
        <v>0.19985020011190163</v>
      </c>
      <c r="L49" s="65">
        <f t="shared" si="55"/>
        <v>5.3806242560245222E-2</v>
      </c>
      <c r="M49" s="65">
        <f t="shared" si="56"/>
        <v>2.5871523016009371E-2</v>
      </c>
      <c r="N49" s="65">
        <f t="shared" si="57"/>
        <v>1.5324021554396368E-3</v>
      </c>
      <c r="O49" s="65">
        <f t="shared" si="58"/>
        <v>2.2327913700465754E-3</v>
      </c>
      <c r="P49" s="65">
        <f t="shared" si="59"/>
        <v>2.909521589887113E-5</v>
      </c>
      <c r="Q49" s="65">
        <f t="shared" si="60"/>
        <v>1.4452253059482167E-4</v>
      </c>
      <c r="R49" s="65">
        <f t="shared" si="61"/>
        <v>4.1431597371337154E-7</v>
      </c>
      <c r="S49" s="65">
        <f t="shared" si="62"/>
        <v>7.4836411963005651E-6</v>
      </c>
      <c r="T49" s="65">
        <f t="shared" si="63"/>
        <v>4.7198887039217852E-9</v>
      </c>
      <c r="U49" s="76"/>
      <c r="V49" s="62">
        <f t="shared" si="64"/>
        <v>2540</v>
      </c>
      <c r="W49" s="63">
        <v>180</v>
      </c>
      <c r="X49" s="62">
        <f t="shared" si="65"/>
        <v>0.10182672</v>
      </c>
      <c r="Y49" s="65">
        <f t="shared" si="89"/>
        <v>0.30827159570917761</v>
      </c>
      <c r="Z49" s="65">
        <f t="shared" si="90"/>
        <v>0.30827159570917761</v>
      </c>
      <c r="AA49" s="65">
        <f t="shared" si="91"/>
        <v>6.7819751056019062E-2</v>
      </c>
      <c r="AB49" s="65">
        <f t="shared" si="66"/>
        <v>0.73471574526486583</v>
      </c>
      <c r="AC49" s="65">
        <f t="shared" si="92"/>
        <v>0.265283338863119</v>
      </c>
      <c r="AD49" s="65">
        <f t="shared" si="92"/>
        <v>6.5571111653677641E-2</v>
      </c>
      <c r="AE49" s="65">
        <f t="shared" si="93"/>
        <v>0.22649199518545785</v>
      </c>
      <c r="AF49" s="65">
        <f t="shared" si="94"/>
        <v>6.3372734578551929E-2</v>
      </c>
      <c r="AG49" s="65">
        <f t="shared" si="67"/>
        <v>3.4910524385588233E-2</v>
      </c>
      <c r="AH49" s="65">
        <f t="shared" si="95"/>
        <v>2.1489615414282816E-3</v>
      </c>
      <c r="AI49" s="65">
        <f t="shared" si="68"/>
        <v>3.5873076864631468E-3</v>
      </c>
      <c r="AJ49" s="65">
        <f t="shared" si="96"/>
        <v>4.8580678922875011E-5</v>
      </c>
      <c r="AK49" s="65">
        <f t="shared" si="69"/>
        <v>2.7646626620144815E-4</v>
      </c>
      <c r="AL49" s="65">
        <f t="shared" si="97"/>
        <v>8.2368238767044395E-7</v>
      </c>
      <c r="AM49" s="65">
        <f t="shared" si="70"/>
        <v>1.7045339408335737E-5</v>
      </c>
      <c r="AN49" s="65">
        <f t="shared" si="98"/>
        <v>1.1172386896207379E-8</v>
      </c>
      <c r="AO49" s="76"/>
      <c r="AP49" s="62">
        <f t="shared" si="99"/>
        <v>1044</v>
      </c>
      <c r="AQ49" s="73">
        <v>180</v>
      </c>
      <c r="AR49" s="64">
        <f t="shared" si="71"/>
        <v>0.10182672</v>
      </c>
      <c r="AS49" s="65">
        <f t="shared" si="72"/>
        <v>7.2912959999999999E-2</v>
      </c>
      <c r="AT49" s="65">
        <f t="shared" si="100"/>
        <v>7.2912959999999999E-2</v>
      </c>
      <c r="AU49" s="65">
        <f t="shared" si="101"/>
        <v>1.6040851199999998E-2</v>
      </c>
      <c r="AV49" s="65">
        <f t="shared" si="73"/>
        <v>0.92968174600345044</v>
      </c>
      <c r="AW49" s="74">
        <f t="shared" si="102"/>
        <v>7.0318253800497429E-2</v>
      </c>
      <c r="AX49" s="65">
        <f t="shared" si="102"/>
        <v>1.5912881905513827E-2</v>
      </c>
      <c r="AY49" s="65">
        <f t="shared" si="74"/>
        <v>6.7785847959079742E-2</v>
      </c>
      <c r="AZ49" s="65">
        <f t="shared" si="75"/>
        <v>1.5785595029190105E-2</v>
      </c>
      <c r="BA49" s="65">
        <f t="shared" si="76"/>
        <v>2.4712334104032316E-3</v>
      </c>
      <c r="BB49" s="65">
        <f t="shared" si="77"/>
        <v>1.2660719048334903E-4</v>
      </c>
      <c r="BC49" s="65">
        <f t="shared" si="78"/>
        <v>6.0061647601131466E-5</v>
      </c>
      <c r="BD49" s="65">
        <f t="shared" si="79"/>
        <v>6.7696236779781907E-7</v>
      </c>
      <c r="BE49" s="65">
        <f t="shared" si="80"/>
        <v>1.0948181272688486E-6</v>
      </c>
      <c r="BF49" s="65">
        <f t="shared" si="81"/>
        <v>2.7147631524611217E-9</v>
      </c>
      <c r="BG49" s="65">
        <f t="shared" si="82"/>
        <v>1.5965286064165693E-8</v>
      </c>
      <c r="BH49" s="65">
        <f t="shared" si="83"/>
        <v>8.7094223543743532E-12</v>
      </c>
    </row>
    <row r="50" spans="1:60" x14ac:dyDescent="0.3">
      <c r="A50" s="91"/>
      <c r="B50" s="62">
        <f t="shared" si="84"/>
        <v>8884</v>
      </c>
      <c r="C50" s="63">
        <v>210</v>
      </c>
      <c r="D50" s="64">
        <f t="shared" si="85"/>
        <v>0.13859748</v>
      </c>
      <c r="E50" s="65">
        <f t="shared" si="52"/>
        <v>0.3524041248769319</v>
      </c>
      <c r="F50" s="65">
        <f t="shared" si="86"/>
        <v>0.3524041248769319</v>
      </c>
      <c r="G50" s="65">
        <f t="shared" si="87"/>
        <v>7.7528907472925013E-2</v>
      </c>
      <c r="H50" s="65">
        <f t="shared" si="53"/>
        <v>0.70299596640463358</v>
      </c>
      <c r="I50" s="65">
        <f t="shared" si="88"/>
        <v>0.29700206502617926</v>
      </c>
      <c r="J50" s="90">
        <f t="shared" si="88"/>
        <v>7.4599726691121915E-2</v>
      </c>
      <c r="K50" s="65">
        <f t="shared" si="54"/>
        <v>0.24773867833283791</v>
      </c>
      <c r="L50" s="65">
        <f t="shared" si="55"/>
        <v>7.1745272142902244E-2</v>
      </c>
      <c r="M50" s="65">
        <f t="shared" si="56"/>
        <v>4.3652066068025741E-2</v>
      </c>
      <c r="N50" s="65">
        <f t="shared" si="57"/>
        <v>2.7811662827934465E-3</v>
      </c>
      <c r="O50" s="65">
        <f t="shared" si="58"/>
        <v>5.1277227139242083E-3</v>
      </c>
      <c r="P50" s="65">
        <f t="shared" si="59"/>
        <v>7.1873594468503972E-5</v>
      </c>
      <c r="Q50" s="65">
        <f t="shared" si="60"/>
        <v>4.5175765890300671E-4</v>
      </c>
      <c r="R50" s="65">
        <f t="shared" si="61"/>
        <v>1.3930703138237949E-6</v>
      </c>
      <c r="S50" s="65">
        <f t="shared" si="62"/>
        <v>3.1840252488433115E-5</v>
      </c>
      <c r="T50" s="65">
        <f t="shared" si="63"/>
        <v>2.1600643892744719E-8</v>
      </c>
      <c r="U50" s="76"/>
      <c r="V50" s="62">
        <f t="shared" si="64"/>
        <v>2540</v>
      </c>
      <c r="W50" s="73">
        <v>210</v>
      </c>
      <c r="X50" s="62">
        <f t="shared" si="65"/>
        <v>0.13859748</v>
      </c>
      <c r="Y50" s="65">
        <f t="shared" si="89"/>
        <v>0.41959189415971393</v>
      </c>
      <c r="Z50" s="65">
        <f t="shared" si="90"/>
        <v>0.41959189415971393</v>
      </c>
      <c r="AA50" s="65">
        <f t="shared" si="91"/>
        <v>9.2310216715137061E-2</v>
      </c>
      <c r="AB50" s="65">
        <f t="shared" si="66"/>
        <v>0.65731501918270641</v>
      </c>
      <c r="AC50" s="65">
        <f t="shared" si="92"/>
        <v>0.34267968376439056</v>
      </c>
      <c r="AD50" s="74">
        <f t="shared" si="92"/>
        <v>8.8177756040827546E-2</v>
      </c>
      <c r="AE50" s="65">
        <f t="shared" si="93"/>
        <v>0.27580405395850049</v>
      </c>
      <c r="AF50" s="65">
        <f t="shared" si="94"/>
        <v>8.4170508872257549E-2</v>
      </c>
      <c r="AG50" s="65">
        <f t="shared" si="67"/>
        <v>5.7862572708687582E-2</v>
      </c>
      <c r="AH50" s="65">
        <f t="shared" si="95"/>
        <v>3.8848989575107308E-3</v>
      </c>
      <c r="AI50" s="65">
        <f t="shared" si="68"/>
        <v>8.092888827930798E-3</v>
      </c>
      <c r="AJ50" s="65">
        <f t="shared" si="96"/>
        <v>1.1953862156140854E-4</v>
      </c>
      <c r="AK50" s="65">
        <f t="shared" si="69"/>
        <v>8.4892763813386766E-4</v>
      </c>
      <c r="AL50" s="65">
        <f t="shared" si="97"/>
        <v>2.7586590155405942E-6</v>
      </c>
      <c r="AM50" s="65">
        <f t="shared" si="70"/>
        <v>7.1240631137824351E-5</v>
      </c>
      <c r="AN50" s="65">
        <f t="shared" si="98"/>
        <v>5.0930482313543786E-8</v>
      </c>
      <c r="AO50" s="76"/>
      <c r="AP50" s="62">
        <f t="shared" si="99"/>
        <v>1044</v>
      </c>
      <c r="AQ50" s="63">
        <v>210</v>
      </c>
      <c r="AR50" s="64">
        <f t="shared" si="71"/>
        <v>0.13859748</v>
      </c>
      <c r="AS50" s="65">
        <f t="shared" si="72"/>
        <v>9.9242640000000007E-2</v>
      </c>
      <c r="AT50" s="65">
        <f t="shared" si="100"/>
        <v>9.9242640000000007E-2</v>
      </c>
      <c r="AU50" s="65">
        <f t="shared" si="101"/>
        <v>2.1833380799999996E-2</v>
      </c>
      <c r="AV50" s="65">
        <f t="shared" si="73"/>
        <v>0.90552296527314224</v>
      </c>
      <c r="AW50" s="65">
        <f t="shared" si="102"/>
        <v>9.4477033508017075E-2</v>
      </c>
      <c r="AX50" s="65">
        <f t="shared" si="102"/>
        <v>2.1596757763583978E-2</v>
      </c>
      <c r="AY50" s="65">
        <f t="shared" si="74"/>
        <v>8.9866489654334969E-2</v>
      </c>
      <c r="AZ50" s="65">
        <f t="shared" si="75"/>
        <v>2.1361850563699089E-2</v>
      </c>
      <c r="BA50" s="65">
        <f t="shared" si="76"/>
        <v>4.4592938404144451E-3</v>
      </c>
      <c r="BB50" s="65">
        <f t="shared" si="77"/>
        <v>2.3320070897496839E-4</v>
      </c>
      <c r="BC50" s="65">
        <f t="shared" si="78"/>
        <v>1.4751736441948941E-4</v>
      </c>
      <c r="BD50" s="65">
        <f t="shared" si="79"/>
        <v>1.6971866272934873E-6</v>
      </c>
      <c r="BE50" s="65">
        <f t="shared" si="80"/>
        <v>3.6600031727080494E-6</v>
      </c>
      <c r="BF50" s="65">
        <f t="shared" si="81"/>
        <v>9.2638304805915916E-9</v>
      </c>
      <c r="BG50" s="65">
        <f t="shared" si="82"/>
        <v>7.2645675453584555E-8</v>
      </c>
      <c r="BH50" s="65">
        <f t="shared" si="83"/>
        <v>4.0452147709880642E-11</v>
      </c>
    </row>
    <row r="51" spans="1:60" x14ac:dyDescent="0.3">
      <c r="A51" s="91"/>
      <c r="B51" s="62">
        <f t="shared" si="84"/>
        <v>8884</v>
      </c>
      <c r="C51" s="73">
        <v>240</v>
      </c>
      <c r="D51" s="64">
        <f t="shared" si="85"/>
        <v>0.18102528000000001</v>
      </c>
      <c r="E51" s="65">
        <f t="shared" si="52"/>
        <v>0.46028293861476821</v>
      </c>
      <c r="F51" s="65">
        <f t="shared" si="86"/>
        <v>0.46028293861476821</v>
      </c>
      <c r="G51" s="65">
        <f t="shared" si="87"/>
        <v>0.10126224649524901</v>
      </c>
      <c r="H51" s="65">
        <f t="shared" si="53"/>
        <v>0.63110505625282987</v>
      </c>
      <c r="I51" s="65">
        <f t="shared" si="88"/>
        <v>0.36888602719516506</v>
      </c>
      <c r="J51" s="92">
        <f t="shared" si="88"/>
        <v>9.6303987930404553E-2</v>
      </c>
      <c r="K51" s="65">
        <f t="shared" si="54"/>
        <v>0.29048688986669113</v>
      </c>
      <c r="L51" s="65">
        <f t="shared" si="55"/>
        <v>9.1510288191924957E-2</v>
      </c>
      <c r="M51" s="65">
        <f t="shared" si="56"/>
        <v>6.6853079648452565E-2</v>
      </c>
      <c r="N51" s="65">
        <f t="shared" si="57"/>
        <v>4.6332686798709905E-3</v>
      </c>
      <c r="O51" s="65">
        <f t="shared" si="58"/>
        <v>1.02571106520123E-2</v>
      </c>
      <c r="P51" s="65">
        <f t="shared" si="59"/>
        <v>1.5639173171327106E-4</v>
      </c>
      <c r="Q51" s="65">
        <f t="shared" si="60"/>
        <v>1.1802932581512658E-3</v>
      </c>
      <c r="R51" s="65">
        <f t="shared" si="61"/>
        <v>3.9591445216420272E-6</v>
      </c>
      <c r="S51" s="65">
        <f t="shared" si="62"/>
        <v>1.0865376985781276E-4</v>
      </c>
      <c r="T51" s="65">
        <f t="shared" si="63"/>
        <v>8.0182373692165942E-8</v>
      </c>
      <c r="U51" s="76"/>
      <c r="V51" s="62">
        <f t="shared" si="64"/>
        <v>2540</v>
      </c>
      <c r="W51" s="63">
        <v>240</v>
      </c>
      <c r="X51" s="62">
        <f t="shared" si="65"/>
        <v>0.18102528000000001</v>
      </c>
      <c r="Y51" s="65">
        <f t="shared" si="89"/>
        <v>0.54803839237187135</v>
      </c>
      <c r="Z51" s="65">
        <f t="shared" si="90"/>
        <v>0.54803839237187135</v>
      </c>
      <c r="AA51" s="65">
        <f t="shared" si="91"/>
        <v>0.12056844632181168</v>
      </c>
      <c r="AB51" s="65">
        <f t="shared" si="66"/>
        <v>0.5780826702796249</v>
      </c>
      <c r="AC51" s="65">
        <f t="shared" si="92"/>
        <v>0.42189374924175865</v>
      </c>
      <c r="AD51" s="65">
        <f t="shared" si="92"/>
        <v>0.11358358282613014</v>
      </c>
      <c r="AE51" s="65">
        <f t="shared" si="93"/>
        <v>0.31681149727808422</v>
      </c>
      <c r="AF51" s="65">
        <f t="shared" si="94"/>
        <v>0.10687384974885175</v>
      </c>
      <c r="AG51" s="65">
        <f t="shared" si="67"/>
        <v>8.6812431826603378E-2</v>
      </c>
      <c r="AH51" s="65">
        <f t="shared" si="95"/>
        <v>6.442807008324899E-3</v>
      </c>
      <c r="AI51" s="65">
        <f t="shared" si="68"/>
        <v>1.5858848525381466E-2</v>
      </c>
      <c r="AJ51" s="65">
        <f t="shared" si="96"/>
        <v>2.5893307698167091E-4</v>
      </c>
      <c r="AK51" s="65">
        <f t="shared" si="69"/>
        <v>2.1728144626797698E-3</v>
      </c>
      <c r="AL51" s="65">
        <f t="shared" si="97"/>
        <v>7.8047896982515306E-6</v>
      </c>
      <c r="AM51" s="65">
        <f t="shared" si="70"/>
        <v>2.381571490098745E-4</v>
      </c>
      <c r="AN51" s="65">
        <f t="shared" si="98"/>
        <v>1.8820227355733367E-7</v>
      </c>
      <c r="AO51" s="76"/>
      <c r="AP51" s="62">
        <f t="shared" si="99"/>
        <v>1044</v>
      </c>
      <c r="AQ51" s="63">
        <v>240</v>
      </c>
      <c r="AR51" s="64">
        <f t="shared" si="71"/>
        <v>0.18102528000000001</v>
      </c>
      <c r="AS51" s="65">
        <f t="shared" si="72"/>
        <v>0.12962303999999999</v>
      </c>
      <c r="AT51" s="65">
        <f t="shared" si="100"/>
        <v>0.12962303999999999</v>
      </c>
      <c r="AU51" s="65">
        <f t="shared" si="101"/>
        <v>2.8517068799999989E-2</v>
      </c>
      <c r="AV51" s="65">
        <f t="shared" si="73"/>
        <v>0.87842650017021295</v>
      </c>
      <c r="AW51" s="65">
        <f t="shared" si="102"/>
        <v>0.12157349393369223</v>
      </c>
      <c r="AX51" s="65">
        <f t="shared" si="102"/>
        <v>2.8114294917434713E-2</v>
      </c>
      <c r="AY51" s="65">
        <f t="shared" si="74"/>
        <v>0.11386431336862352</v>
      </c>
      <c r="AZ51" s="65">
        <f t="shared" si="75"/>
        <v>2.7715331517555227E-2</v>
      </c>
      <c r="BA51" s="65">
        <f t="shared" si="76"/>
        <v>7.3797192231768094E-3</v>
      </c>
      <c r="BB51" s="65">
        <f t="shared" si="77"/>
        <v>3.9518000785046525E-4</v>
      </c>
      <c r="BC51" s="65">
        <f t="shared" si="78"/>
        <v>3.1886054668487214E-4</v>
      </c>
      <c r="BD51" s="65">
        <f t="shared" si="79"/>
        <v>3.7564584907520843E-6</v>
      </c>
      <c r="BE51" s="65">
        <f t="shared" si="80"/>
        <v>1.0332918349338761E-5</v>
      </c>
      <c r="BF51" s="65">
        <f t="shared" si="81"/>
        <v>2.6780796306280332E-8</v>
      </c>
      <c r="BG51" s="65">
        <f t="shared" si="82"/>
        <v>2.6787685770261443E-7</v>
      </c>
      <c r="BH51" s="65">
        <f t="shared" si="83"/>
        <v>1.5274196215699636E-10</v>
      </c>
    </row>
    <row r="52" spans="1:60" x14ac:dyDescent="0.3">
      <c r="A52" s="91"/>
      <c r="B52" s="62">
        <f t="shared" si="84"/>
        <v>8884</v>
      </c>
      <c r="C52" s="63">
        <v>270</v>
      </c>
      <c r="D52" s="64">
        <f t="shared" si="85"/>
        <v>0.22911012</v>
      </c>
      <c r="E52" s="65">
        <f t="shared" si="52"/>
        <v>0.58254559418431595</v>
      </c>
      <c r="F52" s="65">
        <f t="shared" si="86"/>
        <v>0.58254559418431595</v>
      </c>
      <c r="G52" s="65">
        <f t="shared" si="87"/>
        <v>0.12816003072054949</v>
      </c>
      <c r="H52" s="65">
        <f t="shared" si="53"/>
        <v>0.55847490508597197</v>
      </c>
      <c r="I52" s="65">
        <f t="shared" si="88"/>
        <v>0.441492061267586</v>
      </c>
      <c r="J52" s="90">
        <f t="shared" si="88"/>
        <v>0.12028740764494564</v>
      </c>
      <c r="K52" s="65">
        <f t="shared" si="54"/>
        <v>0.32533709542033701</v>
      </c>
      <c r="L52" s="65">
        <f t="shared" si="55"/>
        <v>0.11274399215470036</v>
      </c>
      <c r="M52" s="65">
        <f t="shared" si="56"/>
        <v>9.4761845780919854E-2</v>
      </c>
      <c r="N52" s="65">
        <f t="shared" si="57"/>
        <v>7.2246367490518939E-3</v>
      </c>
      <c r="O52" s="65">
        <f t="shared" si="58"/>
        <v>1.8401031918816157E-2</v>
      </c>
      <c r="P52" s="65">
        <f t="shared" si="59"/>
        <v>3.0863655590110053E-4</v>
      </c>
      <c r="Q52" s="65">
        <f t="shared" si="60"/>
        <v>2.6798600181878302E-3</v>
      </c>
      <c r="R52" s="65">
        <f t="shared" si="61"/>
        <v>9.8887176214424072E-6</v>
      </c>
      <c r="S52" s="65">
        <f t="shared" si="62"/>
        <v>3.1222812932520425E-4</v>
      </c>
      <c r="T52" s="65">
        <f t="shared" si="63"/>
        <v>2.5346767083017961E-7</v>
      </c>
      <c r="U52" s="76"/>
      <c r="V52" s="62">
        <f t="shared" si="64"/>
        <v>2540</v>
      </c>
      <c r="W52" s="63">
        <v>270</v>
      </c>
      <c r="X52" s="62">
        <f t="shared" si="65"/>
        <v>0.22911012</v>
      </c>
      <c r="Y52" s="65">
        <f t="shared" si="89"/>
        <v>0.69361109034564961</v>
      </c>
      <c r="Z52" s="65">
        <f t="shared" si="90"/>
        <v>0.69361109034564961</v>
      </c>
      <c r="AA52" s="65">
        <f t="shared" si="91"/>
        <v>0.15259443987604293</v>
      </c>
      <c r="AB52" s="65">
        <f t="shared" si="66"/>
        <v>0.49976809890190121</v>
      </c>
      <c r="AC52" s="65">
        <f t="shared" si="92"/>
        <v>0.50014623192670393</v>
      </c>
      <c r="AD52" s="65">
        <f t="shared" si="92"/>
        <v>0.14152216902283546</v>
      </c>
      <c r="AE52" s="65">
        <f t="shared" si="93"/>
        <v>0.34664469599932013</v>
      </c>
      <c r="AF52" s="65">
        <f t="shared" si="94"/>
        <v>0.13099894141588092</v>
      </c>
      <c r="AG52" s="65">
        <f t="shared" si="67"/>
        <v>0.12021830277731235</v>
      </c>
      <c r="AH52" s="65">
        <f t="shared" si="95"/>
        <v>9.9948550448554566E-3</v>
      </c>
      <c r="AI52" s="65">
        <f t="shared" si="68"/>
        <v>2.779491602295835E-2</v>
      </c>
      <c r="AJ52" s="65">
        <f t="shared" si="96"/>
        <v>5.0838643573732003E-4</v>
      </c>
      <c r="AK52" s="65">
        <f t="shared" si="69"/>
        <v>4.819715502187477E-3</v>
      </c>
      <c r="AL52" s="65">
        <f t="shared" si="97"/>
        <v>1.9394235850478566E-5</v>
      </c>
      <c r="AM52" s="65">
        <f t="shared" si="70"/>
        <v>6.6860162492561723E-4</v>
      </c>
      <c r="AN52" s="65">
        <f t="shared" si="98"/>
        <v>5.918905112855295E-7</v>
      </c>
      <c r="AO52" s="76"/>
      <c r="AP52" s="62">
        <f t="shared" si="99"/>
        <v>1044</v>
      </c>
      <c r="AQ52" s="63">
        <v>270</v>
      </c>
      <c r="AR52" s="64">
        <f t="shared" si="71"/>
        <v>0.22911012</v>
      </c>
      <c r="AS52" s="65">
        <f t="shared" si="72"/>
        <v>0.16405416</v>
      </c>
      <c r="AT52" s="65">
        <f t="shared" si="100"/>
        <v>0.16405416</v>
      </c>
      <c r="AU52" s="65">
        <f t="shared" si="101"/>
        <v>3.6091915199999991E-2</v>
      </c>
      <c r="AV52" s="65">
        <f t="shared" si="73"/>
        <v>0.84869605525708913</v>
      </c>
      <c r="AW52" s="65">
        <f t="shared" si="102"/>
        <v>0.15130392121346686</v>
      </c>
      <c r="AX52" s="65">
        <f t="shared" si="102"/>
        <v>3.5448367544693486E-2</v>
      </c>
      <c r="AY52" s="65">
        <f t="shared" si="74"/>
        <v>0.13923211844051533</v>
      </c>
      <c r="AZ52" s="65">
        <f t="shared" si="75"/>
        <v>3.481251572449106E-2</v>
      </c>
      <c r="BA52" s="65">
        <f t="shared" si="76"/>
        <v>1.1420804117889628E-2</v>
      </c>
      <c r="BB52" s="65">
        <f t="shared" si="77"/>
        <v>6.2822518271349879E-4</v>
      </c>
      <c r="BC52" s="65">
        <f t="shared" si="78"/>
        <v>6.2454347536164141E-4</v>
      </c>
      <c r="BD52" s="65">
        <f t="shared" si="79"/>
        <v>7.5579500070000329E-6</v>
      </c>
      <c r="BE52" s="65">
        <f t="shared" si="80"/>
        <v>2.5614738808483696E-5</v>
      </c>
      <c r="BF52" s="65">
        <f t="shared" si="81"/>
        <v>6.8195222684621124E-8</v>
      </c>
      <c r="BG52" s="65">
        <f t="shared" si="82"/>
        <v>8.4044089176903871E-7</v>
      </c>
      <c r="BH52" s="65">
        <f t="shared" si="83"/>
        <v>4.9225923883569225E-10</v>
      </c>
    </row>
    <row r="53" spans="1:60" x14ac:dyDescent="0.3">
      <c r="A53" s="76"/>
      <c r="B53" s="62">
        <f t="shared" si="84"/>
        <v>8884</v>
      </c>
      <c r="C53" s="63">
        <v>300</v>
      </c>
      <c r="D53" s="64">
        <f t="shared" si="85"/>
        <v>0.28285199999999999</v>
      </c>
      <c r="E53" s="65">
        <f t="shared" si="52"/>
        <v>0.71919209158557518</v>
      </c>
      <c r="F53" s="65">
        <f t="shared" si="86"/>
        <v>0.71919209158557518</v>
      </c>
      <c r="G53" s="65">
        <f t="shared" si="87"/>
        <v>0.15822226014882657</v>
      </c>
      <c r="H53" s="65">
        <f t="shared" si="53"/>
        <v>0.48714566610158511</v>
      </c>
      <c r="I53" s="65">
        <f t="shared" si="88"/>
        <v>0.51275014958596277</v>
      </c>
      <c r="J53" s="90">
        <f t="shared" si="88"/>
        <v>0.14633995469193403</v>
      </c>
      <c r="K53" s="65">
        <f t="shared" si="54"/>
        <v>0.35035131051044721</v>
      </c>
      <c r="L53" s="65">
        <f t="shared" si="55"/>
        <v>0.13506801875628702</v>
      </c>
      <c r="M53" s="65">
        <f t="shared" si="56"/>
        <v>0.12598494589787793</v>
      </c>
      <c r="N53" s="65">
        <f t="shared" si="57"/>
        <v>1.0685383600721916E-2</v>
      </c>
      <c r="O53" s="65">
        <f t="shared" si="58"/>
        <v>3.0202458916196787E-2</v>
      </c>
      <c r="P53" s="65">
        <f t="shared" si="59"/>
        <v>5.635551812878094E-4</v>
      </c>
      <c r="Q53" s="65">
        <f t="shared" si="60"/>
        <v>5.4303423997417418E-3</v>
      </c>
      <c r="R53" s="65">
        <f t="shared" si="61"/>
        <v>2.2291743625484727E-5</v>
      </c>
      <c r="S53" s="65">
        <f t="shared" si="62"/>
        <v>7.8109186169921896E-4</v>
      </c>
      <c r="T53" s="65">
        <f t="shared" si="63"/>
        <v>7.0541001181647809E-7</v>
      </c>
      <c r="U53" s="76"/>
      <c r="V53" s="62">
        <f t="shared" si="64"/>
        <v>2540</v>
      </c>
      <c r="W53" s="63">
        <v>300</v>
      </c>
      <c r="X53" s="62">
        <f t="shared" si="65"/>
        <v>0.28285199999999999</v>
      </c>
      <c r="Y53" s="65">
        <f t="shared" si="89"/>
        <v>0.85630998808104886</v>
      </c>
      <c r="Z53" s="65">
        <f t="shared" si="90"/>
        <v>0.85630998808104886</v>
      </c>
      <c r="AA53" s="65">
        <f t="shared" si="91"/>
        <v>0.18838819737783075</v>
      </c>
      <c r="AB53" s="65">
        <f t="shared" si="66"/>
        <v>0.4247264399191984</v>
      </c>
      <c r="AC53" s="65">
        <f t="shared" si="92"/>
        <v>0.57500917229447446</v>
      </c>
      <c r="AD53" s="65">
        <f t="shared" si="92"/>
        <v>0.1717068435548251</v>
      </c>
      <c r="AE53" s="65">
        <f t="shared" si="93"/>
        <v>0.36369749270491508</v>
      </c>
      <c r="AF53" s="65">
        <f t="shared" si="94"/>
        <v>0.15604064468825468</v>
      </c>
      <c r="AG53" s="65">
        <f t="shared" si="67"/>
        <v>0.1557188978216266</v>
      </c>
      <c r="AH53" s="65">
        <f t="shared" si="95"/>
        <v>1.469810788524744E-2</v>
      </c>
      <c r="AI53" s="65">
        <f t="shared" si="68"/>
        <v>4.4447882512543717E-2</v>
      </c>
      <c r="AJ53" s="65">
        <f t="shared" si="96"/>
        <v>9.2298334978888161E-4</v>
      </c>
      <c r="AK53" s="65">
        <f t="shared" si="69"/>
        <v>9.5152914361360426E-3</v>
      </c>
      <c r="AL53" s="65">
        <f t="shared" si="97"/>
        <v>4.3469792369119814E-5</v>
      </c>
      <c r="AM53" s="65">
        <f t="shared" si="70"/>
        <v>1.6296078192530722E-3</v>
      </c>
      <c r="AN53" s="65">
        <f t="shared" si="98"/>
        <v>1.6378391649614127E-6</v>
      </c>
      <c r="AO53" s="76"/>
      <c r="AP53" s="62">
        <f t="shared" si="99"/>
        <v>1044</v>
      </c>
      <c r="AQ53" s="63">
        <v>300</v>
      </c>
      <c r="AR53" s="64">
        <f t="shared" si="71"/>
        <v>0.28285199999999999</v>
      </c>
      <c r="AS53" s="65">
        <f t="shared" si="72"/>
        <v>0.20253599999999999</v>
      </c>
      <c r="AT53" s="65">
        <f t="shared" si="100"/>
        <v>0.20253599999999999</v>
      </c>
      <c r="AU53" s="65">
        <f t="shared" si="101"/>
        <v>4.4557920000000001E-2</v>
      </c>
      <c r="AV53" s="65">
        <f t="shared" si="73"/>
        <v>0.81665708241394386</v>
      </c>
      <c r="AW53" s="65">
        <f t="shared" si="102"/>
        <v>0.18334283696951276</v>
      </c>
      <c r="AX53" s="65">
        <f t="shared" si="102"/>
        <v>4.3579797358348098E-2</v>
      </c>
      <c r="AY53" s="65">
        <f t="shared" si="74"/>
        <v>0.16540245884379054</v>
      </c>
      <c r="AZ53" s="65">
        <f t="shared" si="75"/>
        <v>4.2616094875224324E-2</v>
      </c>
      <c r="BA53" s="65">
        <f t="shared" si="76"/>
        <v>1.6749976202192977E-2</v>
      </c>
      <c r="BB53" s="65">
        <f t="shared" si="77"/>
        <v>9.4944227308132762E-4</v>
      </c>
      <c r="BC53" s="65">
        <f t="shared" si="78"/>
        <v>1.1308243933624523E-3</v>
      </c>
      <c r="BD53" s="65">
        <f t="shared" si="79"/>
        <v>1.410172428285865E-5</v>
      </c>
      <c r="BE53" s="65">
        <f t="shared" si="80"/>
        <v>5.7258162333514408E-5</v>
      </c>
      <c r="BF53" s="65">
        <f t="shared" si="81"/>
        <v>1.5708587561441825E-7</v>
      </c>
      <c r="BG53" s="65">
        <f t="shared" si="82"/>
        <v>2.3193678332761347E-6</v>
      </c>
      <c r="BH53" s="65">
        <f t="shared" si="83"/>
        <v>1.39988397575144E-9</v>
      </c>
    </row>
    <row r="54" spans="1:60" x14ac:dyDescent="0.3">
      <c r="A54" s="38"/>
      <c r="B54" s="62">
        <f t="shared" si="84"/>
        <v>8884</v>
      </c>
      <c r="C54" s="63">
        <v>330</v>
      </c>
      <c r="D54" s="64">
        <f t="shared" si="85"/>
        <v>0.34225091999999996</v>
      </c>
      <c r="E54" s="65">
        <f t="shared" si="52"/>
        <v>0.870222430818546</v>
      </c>
      <c r="F54" s="65">
        <f t="shared" si="86"/>
        <v>0.870222430818546</v>
      </c>
      <c r="G54" s="65">
        <f t="shared" si="87"/>
        <v>0.19144893478008007</v>
      </c>
      <c r="H54" s="65">
        <f t="shared" si="53"/>
        <v>0.41885837187475256</v>
      </c>
      <c r="I54" s="65">
        <f t="shared" si="88"/>
        <v>0.58085379313687546</v>
      </c>
      <c r="J54" s="90">
        <f t="shared" si="88"/>
        <v>0.17423815020747521</v>
      </c>
      <c r="K54" s="65">
        <f t="shared" si="54"/>
        <v>0.36449995054154566</v>
      </c>
      <c r="L54" s="65">
        <f t="shared" si="55"/>
        <v>0.15809121541020524</v>
      </c>
      <c r="M54" s="65">
        <f t="shared" si="56"/>
        <v>0.15859801649675181</v>
      </c>
      <c r="N54" s="65">
        <f t="shared" si="57"/>
        <v>1.5133197394185985E-2</v>
      </c>
      <c r="O54" s="65">
        <f t="shared" si="58"/>
        <v>4.6005183812934412E-2</v>
      </c>
      <c r="P54" s="65">
        <f t="shared" si="59"/>
        <v>9.6574484031119675E-4</v>
      </c>
      <c r="Q54" s="65">
        <f t="shared" si="60"/>
        <v>1.0008685721986451E-2</v>
      </c>
      <c r="R54" s="65">
        <f t="shared" si="61"/>
        <v>4.6222705236734285E-5</v>
      </c>
      <c r="S54" s="65">
        <f t="shared" si="62"/>
        <v>1.7419565636571847E-3</v>
      </c>
      <c r="T54" s="65">
        <f t="shared" si="63"/>
        <v>1.7698575360452814E-6</v>
      </c>
      <c r="U54" s="76"/>
      <c r="V54" s="62">
        <f t="shared" si="64"/>
        <v>2540</v>
      </c>
      <c r="W54" s="63">
        <v>330</v>
      </c>
      <c r="X54" s="62">
        <f t="shared" si="65"/>
        <v>0.34225091999999996</v>
      </c>
      <c r="Y54" s="65">
        <f t="shared" si="89"/>
        <v>1.0361350855780689</v>
      </c>
      <c r="Z54" s="65">
        <f t="shared" si="90"/>
        <v>1.0361350855780689</v>
      </c>
      <c r="AA54" s="65">
        <f t="shared" si="91"/>
        <v>0.22794971882717507</v>
      </c>
      <c r="AB54" s="65">
        <f t="shared" si="66"/>
        <v>0.35482339733671125</v>
      </c>
      <c r="AC54" s="65">
        <f t="shared" si="92"/>
        <v>0.64446336573854501</v>
      </c>
      <c r="AD54" s="65">
        <f t="shared" si="92"/>
        <v>0.20383554876404977</v>
      </c>
      <c r="AE54" s="65">
        <f t="shared" si="93"/>
        <v>0.36764497116457445</v>
      </c>
      <c r="AF54" s="65">
        <f t="shared" si="94"/>
        <v>0.18148542625165556</v>
      </c>
      <c r="AG54" s="65">
        <f t="shared" si="67"/>
        <v>0.19046492682997651</v>
      </c>
      <c r="AH54" s="65">
        <f t="shared" si="95"/>
        <v>2.0684775942647452E-2</v>
      </c>
      <c r="AI54" s="65">
        <f t="shared" si="68"/>
        <v>6.5782464420199457E-2</v>
      </c>
      <c r="AJ54" s="65">
        <f t="shared" si="96"/>
        <v>1.571696286709867E-3</v>
      </c>
      <c r="AK54" s="65">
        <f t="shared" si="69"/>
        <v>1.7039879850389909E-2</v>
      </c>
      <c r="AL54" s="65">
        <f t="shared" si="97"/>
        <v>8.9566931659307335E-5</v>
      </c>
      <c r="AM54" s="65">
        <f t="shared" si="70"/>
        <v>3.5311234734047518E-3</v>
      </c>
      <c r="AN54" s="65">
        <f t="shared" si="98"/>
        <v>4.0833513775903818E-6</v>
      </c>
      <c r="AO54" s="76"/>
      <c r="AP54" s="62">
        <f t="shared" si="99"/>
        <v>1044</v>
      </c>
      <c r="AQ54" s="63">
        <v>330</v>
      </c>
      <c r="AR54" s="64">
        <f t="shared" si="71"/>
        <v>0.34225091999999996</v>
      </c>
      <c r="AS54" s="65">
        <f t="shared" si="72"/>
        <v>0.24506855999999996</v>
      </c>
      <c r="AT54" s="65">
        <f t="shared" si="100"/>
        <v>0.24506855999999996</v>
      </c>
      <c r="AU54" s="65">
        <f t="shared" si="101"/>
        <v>5.3915083199999991E-2</v>
      </c>
      <c r="AV54" s="65">
        <f t="shared" si="73"/>
        <v>0.78265087785822529</v>
      </c>
      <c r="AW54" s="65">
        <f t="shared" si="102"/>
        <v>0.21734887815405782</v>
      </c>
      <c r="AX54" s="65">
        <f t="shared" si="102"/>
        <v>5.2487437146928259E-2</v>
      </c>
      <c r="AY54" s="65">
        <f t="shared" si="74"/>
        <v>0.19180312361945112</v>
      </c>
      <c r="AZ54" s="65">
        <f t="shared" si="75"/>
        <v>5.1085218657512366E-2</v>
      </c>
      <c r="BA54" s="65">
        <f t="shared" si="76"/>
        <v>2.3502457654460435E-2</v>
      </c>
      <c r="BB54" s="65">
        <f t="shared" si="77"/>
        <v>1.3771319071049855E-3</v>
      </c>
      <c r="BC54" s="65">
        <f t="shared" si="78"/>
        <v>1.9199044846131986E-3</v>
      </c>
      <c r="BD54" s="65">
        <f t="shared" si="79"/>
        <v>2.4749393782979982E-5</v>
      </c>
      <c r="BE54" s="65">
        <f t="shared" si="80"/>
        <v>1.1762705684542467E-4</v>
      </c>
      <c r="BF54" s="65">
        <f t="shared" si="81"/>
        <v>3.3359140623973211E-7</v>
      </c>
      <c r="BG54" s="65">
        <f t="shared" si="82"/>
        <v>5.7653386876292726E-6</v>
      </c>
      <c r="BH54" s="65">
        <f t="shared" si="83"/>
        <v>3.5971216844440309E-9</v>
      </c>
    </row>
    <row r="55" spans="1:60" x14ac:dyDescent="0.3">
      <c r="A55" s="76"/>
      <c r="B55" s="62">
        <f t="shared" si="84"/>
        <v>8884</v>
      </c>
      <c r="C55" s="63">
        <v>360</v>
      </c>
      <c r="D55" s="64">
        <f t="shared" si="85"/>
        <v>0.40730687999999998</v>
      </c>
      <c r="E55" s="65">
        <f t="shared" si="52"/>
        <v>1.0356366118832283</v>
      </c>
      <c r="F55" s="65">
        <f t="shared" si="86"/>
        <v>1.0356366118832283</v>
      </c>
      <c r="G55" s="65">
        <f t="shared" si="87"/>
        <v>0.22784005461431023</v>
      </c>
      <c r="H55" s="65">
        <f t="shared" si="53"/>
        <v>0.35500031155647671</v>
      </c>
      <c r="I55" s="65">
        <f t="shared" si="88"/>
        <v>0.64428821001337044</v>
      </c>
      <c r="J55" s="90">
        <f t="shared" si="88"/>
        <v>0.20374823369345429</v>
      </c>
      <c r="K55" s="65">
        <f t="shared" si="54"/>
        <v>0.36765131987784</v>
      </c>
      <c r="L55" s="65">
        <f t="shared" si="55"/>
        <v>0.18141800949374481</v>
      </c>
      <c r="M55" s="65">
        <f t="shared" si="56"/>
        <v>0.19037658363634161</v>
      </c>
      <c r="N55" s="65">
        <f t="shared" si="57"/>
        <v>2.0667144595537135E-2</v>
      </c>
      <c r="O55" s="65">
        <f t="shared" si="58"/>
        <v>6.5720320019681616E-2</v>
      </c>
      <c r="P55" s="65">
        <f t="shared" si="59"/>
        <v>1.5696011177896757E-3</v>
      </c>
      <c r="Q55" s="65">
        <f t="shared" si="60"/>
        <v>1.701559238926614E-2</v>
      </c>
      <c r="R55" s="65">
        <f t="shared" si="61"/>
        <v>8.9404501099970518E-5</v>
      </c>
      <c r="S55" s="65">
        <f t="shared" si="62"/>
        <v>3.5243940902411263E-3</v>
      </c>
      <c r="T55" s="65">
        <f t="shared" si="63"/>
        <v>4.0739852826764889E-6</v>
      </c>
      <c r="U55" s="76"/>
      <c r="V55" s="62">
        <f t="shared" si="64"/>
        <v>2540</v>
      </c>
      <c r="W55" s="63">
        <v>360</v>
      </c>
      <c r="X55" s="62">
        <f t="shared" si="65"/>
        <v>0.40730687999999998</v>
      </c>
      <c r="Y55" s="65">
        <f t="shared" si="89"/>
        <v>1.2330863828367105</v>
      </c>
      <c r="Z55" s="65">
        <f t="shared" si="90"/>
        <v>1.2330863828367105</v>
      </c>
      <c r="AA55" s="65">
        <f t="shared" si="91"/>
        <v>0.27127900422407625</v>
      </c>
      <c r="AB55" s="65">
        <f t="shared" si="66"/>
        <v>0.29139184160899972</v>
      </c>
      <c r="AC55" s="65">
        <f t="shared" si="92"/>
        <v>0.7068902162808548</v>
      </c>
      <c r="AD55" s="65">
        <f t="shared" si="92"/>
        <v>0.23759580817565637</v>
      </c>
      <c r="AE55" s="65">
        <f t="shared" si="93"/>
        <v>0.35931131195776911</v>
      </c>
      <c r="AF55" s="65">
        <f t="shared" si="94"/>
        <v>0.20682413089276896</v>
      </c>
      <c r="AG55" s="65">
        <f t="shared" si="67"/>
        <v>0.2215309429871592</v>
      </c>
      <c r="AH55" s="65">
        <f t="shared" si="95"/>
        <v>2.8053522139050182E-2</v>
      </c>
      <c r="AI55" s="65">
        <f t="shared" si="68"/>
        <v>9.1055596391480545E-2</v>
      </c>
      <c r="AJ55" s="65">
        <f t="shared" si="96"/>
        <v>2.5367771836198702E-3</v>
      </c>
      <c r="AK55" s="65">
        <f t="shared" si="69"/>
        <v>2.8069853997852542E-2</v>
      </c>
      <c r="AL55" s="65">
        <f t="shared" si="97"/>
        <v>1.7204359707768878E-4</v>
      </c>
      <c r="AM55" s="65">
        <f t="shared" si="70"/>
        <v>6.9225109465933131E-3</v>
      </c>
      <c r="AN55" s="65">
        <f t="shared" si="98"/>
        <v>9.3343631396727214E-6</v>
      </c>
      <c r="AO55" s="76"/>
      <c r="AP55" s="62">
        <f t="shared" si="99"/>
        <v>1044</v>
      </c>
      <c r="AQ55" s="63">
        <v>360</v>
      </c>
      <c r="AR55" s="64">
        <f t="shared" si="71"/>
        <v>0.40730687999999998</v>
      </c>
      <c r="AS55" s="65">
        <f t="shared" si="72"/>
        <v>0.29165184</v>
      </c>
      <c r="AT55" s="65">
        <f t="shared" si="100"/>
        <v>0.29165184</v>
      </c>
      <c r="AU55" s="65">
        <f t="shared" si="101"/>
        <v>6.416340479999999E-2</v>
      </c>
      <c r="AV55" s="65">
        <f t="shared" si="73"/>
        <v>0.74702857617201268</v>
      </c>
      <c r="AW55" s="65">
        <f t="shared" si="102"/>
        <v>0.25297075767365895</v>
      </c>
      <c r="AX55" s="65">
        <f t="shared" si="102"/>
        <v>6.2148262374671845E-2</v>
      </c>
      <c r="AY55" s="65">
        <f t="shared" si="74"/>
        <v>0.21787225877314764</v>
      </c>
      <c r="AZ55" s="65">
        <f t="shared" si="75"/>
        <v>6.0175760677751475E-2</v>
      </c>
      <c r="BA55" s="65">
        <f t="shared" si="76"/>
        <v>3.1771422578072327E-2</v>
      </c>
      <c r="BB55" s="65">
        <f t="shared" si="77"/>
        <v>1.9305408457572447E-3</v>
      </c>
      <c r="BC55" s="65">
        <f t="shared" si="78"/>
        <v>3.0887312847707794E-3</v>
      </c>
      <c r="BD55" s="65">
        <f t="shared" si="79"/>
        <v>4.1290024589752143E-5</v>
      </c>
      <c r="BE55" s="65">
        <f t="shared" si="80"/>
        <v>2.2520854061724042E-4</v>
      </c>
      <c r="BF55" s="65">
        <f t="shared" si="81"/>
        <v>6.6232714048855513E-7</v>
      </c>
      <c r="BG55" s="65">
        <f t="shared" si="82"/>
        <v>1.3136497050946581E-5</v>
      </c>
      <c r="BH55" s="65">
        <f t="shared" si="83"/>
        <v>8.4994328850387243E-9</v>
      </c>
    </row>
    <row r="56" spans="1:60" x14ac:dyDescent="0.3">
      <c r="A56" s="76"/>
      <c r="B56" s="62">
        <f t="shared" si="84"/>
        <v>8884</v>
      </c>
      <c r="C56" s="63">
        <v>390</v>
      </c>
      <c r="D56" s="64">
        <f t="shared" si="85"/>
        <v>0.47801987999999995</v>
      </c>
      <c r="E56" s="65">
        <f t="shared" si="52"/>
        <v>1.2154346347796221</v>
      </c>
      <c r="F56" s="65">
        <f t="shared" si="86"/>
        <v>1.2154346347796221</v>
      </c>
      <c r="G56" s="65">
        <f t="shared" si="87"/>
        <v>0.26739561965151681</v>
      </c>
      <c r="H56" s="65">
        <f t="shared" si="53"/>
        <v>0.29658108182366855</v>
      </c>
      <c r="I56" s="65">
        <f t="shared" si="88"/>
        <v>0.70181991414317479</v>
      </c>
      <c r="J56" s="90">
        <f t="shared" si="88"/>
        <v>0.23462938001637362</v>
      </c>
      <c r="K56" s="65">
        <f t="shared" si="54"/>
        <v>0.36047491886889582</v>
      </c>
      <c r="L56" s="65">
        <f t="shared" si="55"/>
        <v>0.20465664318708532</v>
      </c>
      <c r="M56" s="65">
        <f t="shared" si="56"/>
        <v>0.21906685068131515</v>
      </c>
      <c r="N56" s="65">
        <f t="shared" si="57"/>
        <v>2.7362144960405028E-2</v>
      </c>
      <c r="O56" s="65">
        <f t="shared" si="58"/>
        <v>8.8753812550055433E-2</v>
      </c>
      <c r="P56" s="65">
        <f t="shared" si="59"/>
        <v>2.4388392355607102E-3</v>
      </c>
      <c r="Q56" s="65">
        <f t="shared" si="60"/>
        <v>2.6968614435518918E-2</v>
      </c>
      <c r="R56" s="65">
        <f t="shared" si="61"/>
        <v>1.6303373215579688E-4</v>
      </c>
      <c r="S56" s="65">
        <f t="shared" si="62"/>
        <v>6.5557176073894755E-3</v>
      </c>
      <c r="T56" s="65">
        <f t="shared" si="63"/>
        <v>8.718901166779747E-6</v>
      </c>
      <c r="U56" s="76"/>
      <c r="V56" s="62">
        <f t="shared" si="64"/>
        <v>2540</v>
      </c>
      <c r="W56" s="63">
        <v>390</v>
      </c>
      <c r="X56" s="62">
        <f t="shared" si="65"/>
        <v>0.47801987999999995</v>
      </c>
      <c r="Y56" s="65">
        <f t="shared" si="89"/>
        <v>1.4471638798569724</v>
      </c>
      <c r="Z56" s="65">
        <f t="shared" si="90"/>
        <v>1.4471638798569724</v>
      </c>
      <c r="AA56" s="65">
        <f t="shared" si="91"/>
        <v>0.31837605356853382</v>
      </c>
      <c r="AB56" s="65">
        <f t="shared" si="66"/>
        <v>0.23523650189744852</v>
      </c>
      <c r="AC56" s="65">
        <f t="shared" si="92"/>
        <v>0.76100869092648549</v>
      </c>
      <c r="AD56" s="65">
        <f t="shared" si="92"/>
        <v>0.27266967588448288</v>
      </c>
      <c r="AE56" s="65">
        <f t="shared" si="93"/>
        <v>0.34042576876989367</v>
      </c>
      <c r="AF56" s="65">
        <f t="shared" si="94"/>
        <v>0.23156420741882749</v>
      </c>
      <c r="AG56" s="65">
        <f t="shared" si="67"/>
        <v>0.24632593816816592</v>
      </c>
      <c r="AH56" s="65">
        <f t="shared" si="95"/>
        <v>3.6862249252865853E-2</v>
      </c>
      <c r="AI56" s="65">
        <f t="shared" si="68"/>
        <v>0.1188246667962839</v>
      </c>
      <c r="AJ56" s="65">
        <f t="shared" si="96"/>
        <v>3.9120191475956875E-3</v>
      </c>
      <c r="AK56" s="65">
        <f t="shared" si="69"/>
        <v>4.2989691455905539E-2</v>
      </c>
      <c r="AL56" s="65">
        <f t="shared" si="97"/>
        <v>3.1137330442401371E-4</v>
      </c>
      <c r="AM56" s="65">
        <f t="shared" si="70"/>
        <v>1.244262573623648E-2</v>
      </c>
      <c r="AN56" s="65">
        <f t="shared" si="98"/>
        <v>1.9826760769822233E-5</v>
      </c>
      <c r="AO56" s="76"/>
      <c r="AP56" s="62">
        <f t="shared" si="99"/>
        <v>1044</v>
      </c>
      <c r="AQ56" s="63">
        <v>390</v>
      </c>
      <c r="AR56" s="64">
        <f t="shared" si="71"/>
        <v>0.47801987999999995</v>
      </c>
      <c r="AS56" s="65">
        <f t="shared" si="72"/>
        <v>0.34228583999999995</v>
      </c>
      <c r="AT56" s="65">
        <f t="shared" si="100"/>
        <v>0.34228583999999995</v>
      </c>
      <c r="AU56" s="65">
        <f t="shared" si="101"/>
        <v>7.530288479999997E-2</v>
      </c>
      <c r="AV56" s="65">
        <f t="shared" si="73"/>
        <v>0.71014518779490288</v>
      </c>
      <c r="AW56" s="65">
        <f t="shared" si="102"/>
        <v>0.28985314503112652</v>
      </c>
      <c r="AX56" s="65">
        <f t="shared" si="102"/>
        <v>7.2537470283403641E-2</v>
      </c>
      <c r="AY56" s="65">
        <f t="shared" si="74"/>
        <v>0.24307264212633606</v>
      </c>
      <c r="AZ56" s="65">
        <f t="shared" si="75"/>
        <v>6.9840604013686691E-2</v>
      </c>
      <c r="BA56" s="65">
        <f t="shared" si="76"/>
        <v>4.1600161745616149E-2</v>
      </c>
      <c r="BB56" s="65">
        <f t="shared" si="77"/>
        <v>2.6295994792025325E-3</v>
      </c>
      <c r="BC56" s="65">
        <f t="shared" si="78"/>
        <v>4.7463821024113628E-3</v>
      </c>
      <c r="BD56" s="65">
        <f t="shared" si="79"/>
        <v>6.6005475550842739E-5</v>
      </c>
      <c r="BE56" s="65">
        <f t="shared" si="80"/>
        <v>4.0615484622120979E-4</v>
      </c>
      <c r="BF56" s="65">
        <f t="shared" si="81"/>
        <v>1.2426006803935814E-6</v>
      </c>
      <c r="BG56" s="65">
        <f t="shared" si="82"/>
        <v>2.7804210541779517E-5</v>
      </c>
      <c r="BH56" s="65">
        <f t="shared" si="83"/>
        <v>1.8714283177615889E-8</v>
      </c>
    </row>
    <row r="57" spans="1:60" x14ac:dyDescent="0.3">
      <c r="A57" s="76"/>
      <c r="B57" s="62">
        <f t="shared" si="84"/>
        <v>8884</v>
      </c>
      <c r="C57" s="63">
        <v>420</v>
      </c>
      <c r="D57" s="64">
        <f t="shared" si="85"/>
        <v>0.55438991999999998</v>
      </c>
      <c r="E57" s="65">
        <f t="shared" si="52"/>
        <v>1.4096164995077276</v>
      </c>
      <c r="F57" s="65">
        <f t="shared" si="86"/>
        <v>1.4096164995077276</v>
      </c>
      <c r="G57" s="65">
        <f t="shared" si="87"/>
        <v>0.31011562989170005</v>
      </c>
      <c r="H57" s="65">
        <f t="shared" si="53"/>
        <v>0.24423693017840375</v>
      </c>
      <c r="I57" s="65">
        <f t="shared" si="88"/>
        <v>0.75245431689560305</v>
      </c>
      <c r="J57" s="90">
        <f t="shared" si="88"/>
        <v>0.26663689951634278</v>
      </c>
      <c r="K57" s="65">
        <f t="shared" si="54"/>
        <v>0.34428040656859477</v>
      </c>
      <c r="L57" s="65">
        <f t="shared" si="55"/>
        <v>0.22742706593420253</v>
      </c>
      <c r="M57" s="65">
        <f t="shared" si="56"/>
        <v>0.24265167077815994</v>
      </c>
      <c r="N57" s="65">
        <f t="shared" si="57"/>
        <v>3.5264343903303207E-2</v>
      </c>
      <c r="O57" s="65">
        <f t="shared" si="58"/>
        <v>0.11401526625400378</v>
      </c>
      <c r="P57" s="65">
        <f t="shared" si="59"/>
        <v>3.6453414074301359E-3</v>
      </c>
      <c r="Q57" s="65">
        <f t="shared" si="60"/>
        <v>4.0179450126852589E-2</v>
      </c>
      <c r="R57" s="65">
        <f t="shared" si="61"/>
        <v>2.8261933668387323E-4</v>
      </c>
      <c r="S57" s="65">
        <f t="shared" si="62"/>
        <v>1.1327523167991854E-2</v>
      </c>
      <c r="T57" s="65">
        <f t="shared" si="63"/>
        <v>1.7528934723058763E-5</v>
      </c>
      <c r="U57" s="76"/>
      <c r="V57" s="62">
        <f t="shared" si="64"/>
        <v>2540</v>
      </c>
      <c r="W57" s="63">
        <v>420</v>
      </c>
      <c r="X57" s="62">
        <f t="shared" si="65"/>
        <v>0.55438991999999998</v>
      </c>
      <c r="Y57" s="65">
        <f t="shared" si="89"/>
        <v>1.6783675766388557</v>
      </c>
      <c r="Z57" s="65">
        <f t="shared" si="90"/>
        <v>1.6783675766388557</v>
      </c>
      <c r="AA57" s="65">
        <f t="shared" si="91"/>
        <v>0.36924086686054824</v>
      </c>
      <c r="AB57" s="65">
        <f t="shared" si="66"/>
        <v>0.18667846573223279</v>
      </c>
      <c r="AC57" s="65">
        <f t="shared" si="92"/>
        <v>0.80577995104228228</v>
      </c>
      <c r="AD57" s="65">
        <f t="shared" si="92"/>
        <v>0.30873854330274764</v>
      </c>
      <c r="AE57" s="65">
        <f t="shared" si="93"/>
        <v>0.3133150841416672</v>
      </c>
      <c r="AF57" s="65">
        <f t="shared" si="94"/>
        <v>0.25524103141342852</v>
      </c>
      <c r="AG57" s="65">
        <f t="shared" si="67"/>
        <v>0.26292893924762462</v>
      </c>
      <c r="AH57" s="65">
        <f t="shared" si="95"/>
        <v>4.7122709848737392E-2</v>
      </c>
      <c r="AI57" s="65">
        <f t="shared" si="68"/>
        <v>0.14709713553108689</v>
      </c>
      <c r="AJ57" s="65">
        <f t="shared" si="96"/>
        <v>5.7998767444552958E-3</v>
      </c>
      <c r="AK57" s="65">
        <f t="shared" si="69"/>
        <v>6.1720765722956906E-2</v>
      </c>
      <c r="AL57" s="65">
        <f t="shared" si="97"/>
        <v>5.35387879201752E-4</v>
      </c>
      <c r="AM57" s="65">
        <f t="shared" si="70"/>
        <v>2.0718026398946748E-2</v>
      </c>
      <c r="AN57" s="65">
        <f t="shared" si="98"/>
        <v>3.9537416924617082E-5</v>
      </c>
      <c r="AO57" s="76"/>
      <c r="AP57" s="62">
        <f t="shared" si="99"/>
        <v>1044</v>
      </c>
      <c r="AQ57" s="73">
        <v>420</v>
      </c>
      <c r="AR57" s="64">
        <f t="shared" si="71"/>
        <v>0.55438991999999998</v>
      </c>
      <c r="AS57" s="65">
        <f t="shared" si="72"/>
        <v>0.39697056000000003</v>
      </c>
      <c r="AT57" s="65">
        <f t="shared" si="100"/>
        <v>0.39697056000000003</v>
      </c>
      <c r="AU57" s="65">
        <f t="shared" si="101"/>
        <v>8.7333523199999985E-2</v>
      </c>
      <c r="AV57" s="65">
        <f t="shared" si="73"/>
        <v>0.67235381943773531</v>
      </c>
      <c r="AW57" s="65">
        <f t="shared" si="102"/>
        <v>0.32764230817314416</v>
      </c>
      <c r="AX57" s="74">
        <f t="shared" si="102"/>
        <v>8.3628585894447979E-2</v>
      </c>
      <c r="AY57" s="65">
        <f t="shared" si="74"/>
        <v>0.2669046722203367</v>
      </c>
      <c r="AZ57" s="65">
        <f t="shared" si="75"/>
        <v>8.0029944103663889E-2</v>
      </c>
      <c r="BA57" s="65">
        <f t="shared" si="76"/>
        <v>5.2976648598961756E-2</v>
      </c>
      <c r="BB57" s="65">
        <f t="shared" si="77"/>
        <v>3.494648490036016E-3</v>
      </c>
      <c r="BC57" s="65">
        <f t="shared" si="78"/>
        <v>7.0100566204176875E-3</v>
      </c>
      <c r="BD57" s="65">
        <f t="shared" si="79"/>
        <v>1.0173332166013512E-4</v>
      </c>
      <c r="BE57" s="65">
        <f t="shared" si="80"/>
        <v>6.956965255597293E-4</v>
      </c>
      <c r="BF57" s="65">
        <f t="shared" si="81"/>
        <v>2.2211823518546173E-6</v>
      </c>
      <c r="BG57" s="65">
        <f t="shared" si="82"/>
        <v>5.5234207868300013E-5</v>
      </c>
      <c r="BH57" s="65">
        <f t="shared" si="83"/>
        <v>3.8796736091425151E-8</v>
      </c>
    </row>
    <row r="58" spans="1:60" x14ac:dyDescent="0.3">
      <c r="A58" s="76"/>
      <c r="B58" s="62">
        <f t="shared" si="84"/>
        <v>8884</v>
      </c>
      <c r="C58" s="63">
        <v>450</v>
      </c>
      <c r="D58" s="64">
        <f t="shared" si="85"/>
        <v>0.63641700000000001</v>
      </c>
      <c r="E58" s="65">
        <f t="shared" si="52"/>
        <v>1.6181822060675444</v>
      </c>
      <c r="F58" s="65">
        <f t="shared" si="86"/>
        <v>1.6181822060675444</v>
      </c>
      <c r="G58" s="65">
        <f t="shared" si="87"/>
        <v>0.35600008533485972</v>
      </c>
      <c r="H58" s="65">
        <f t="shared" si="53"/>
        <v>0.19825876530199379</v>
      </c>
      <c r="I58" s="65">
        <f t="shared" si="88"/>
        <v>0.79537393125938216</v>
      </c>
      <c r="J58" s="90">
        <f t="shared" si="88"/>
        <v>0.29952535372584976</v>
      </c>
      <c r="K58" s="65">
        <f t="shared" si="54"/>
        <v>0.32081880620860787</v>
      </c>
      <c r="L58" s="65">
        <f t="shared" si="55"/>
        <v>0.24936829129867358</v>
      </c>
      <c r="M58" s="65">
        <f t="shared" si="56"/>
        <v>0.25957164178930048</v>
      </c>
      <c r="N58" s="65">
        <f t="shared" si="57"/>
        <v>4.4387566491067974E-2</v>
      </c>
      <c r="O58" s="65">
        <f t="shared" si="58"/>
        <v>0.14001140398106157</v>
      </c>
      <c r="P58" s="65">
        <f t="shared" si="59"/>
        <v>5.2673258195423192E-3</v>
      </c>
      <c r="Q58" s="65">
        <f t="shared" si="60"/>
        <v>5.6640990642172089E-2</v>
      </c>
      <c r="R58" s="65">
        <f t="shared" si="61"/>
        <v>4.6879211031089382E-4</v>
      </c>
      <c r="S58" s="65">
        <f t="shared" si="62"/>
        <v>1.8331088638240234E-2</v>
      </c>
      <c r="T58" s="65">
        <f t="shared" si="63"/>
        <v>3.3378006254997427E-5</v>
      </c>
      <c r="U58" s="76"/>
      <c r="V58" s="62">
        <f t="shared" si="64"/>
        <v>2540</v>
      </c>
      <c r="W58" s="63">
        <v>450</v>
      </c>
      <c r="X58" s="62">
        <f t="shared" si="65"/>
        <v>0.63641700000000001</v>
      </c>
      <c r="Y58" s="65">
        <f t="shared" si="89"/>
        <v>1.9266974731823601</v>
      </c>
      <c r="Z58" s="65">
        <f t="shared" si="90"/>
        <v>1.9266974731823601</v>
      </c>
      <c r="AA58" s="65">
        <f t="shared" si="91"/>
        <v>0.42387344410011907</v>
      </c>
      <c r="AB58" s="65">
        <f t="shared" si="66"/>
        <v>0.14562834671645372</v>
      </c>
      <c r="AC58" s="65">
        <f t="shared" si="92"/>
        <v>0.84031046286941768</v>
      </c>
      <c r="AD58" s="65">
        <f t="shared" si="92"/>
        <v>0.34548768236041871</v>
      </c>
      <c r="AE58" s="65">
        <f t="shared" si="93"/>
        <v>0.28058176764231602</v>
      </c>
      <c r="AF58" s="65">
        <f t="shared" si="94"/>
        <v>0.27742801265626671</v>
      </c>
      <c r="AG58" s="65">
        <f t="shared" si="67"/>
        <v>0.27029809136874516</v>
      </c>
      <c r="AH58" s="65">
        <f t="shared" si="95"/>
        <v>5.8797183607231587E-2</v>
      </c>
      <c r="AI58" s="65">
        <f t="shared" si="68"/>
        <v>0.17359421654872534</v>
      </c>
      <c r="AJ58" s="65">
        <f t="shared" si="96"/>
        <v>8.3075215729947732E-3</v>
      </c>
      <c r="AK58" s="65">
        <f t="shared" si="69"/>
        <v>8.3615884595875142E-2</v>
      </c>
      <c r="AL58" s="65">
        <f t="shared" si="97"/>
        <v>8.8033444527033317E-4</v>
      </c>
      <c r="AM58" s="65">
        <f t="shared" si="70"/>
        <v>3.2220502713756094E-2</v>
      </c>
      <c r="AN58" s="65">
        <f t="shared" si="98"/>
        <v>7.4630078655340767E-5</v>
      </c>
      <c r="AO58" s="76"/>
      <c r="AP58" s="62">
        <f t="shared" si="99"/>
        <v>1044</v>
      </c>
      <c r="AQ58" s="63">
        <v>450</v>
      </c>
      <c r="AR58" s="64">
        <f t="shared" si="71"/>
        <v>0.63641700000000001</v>
      </c>
      <c r="AS58" s="65">
        <f t="shared" si="72"/>
        <v>0.455706</v>
      </c>
      <c r="AT58" s="65">
        <f t="shared" si="100"/>
        <v>0.455706</v>
      </c>
      <c r="AU58" s="65">
        <f t="shared" si="101"/>
        <v>0.10025531999999998</v>
      </c>
      <c r="AV58" s="65">
        <f t="shared" si="73"/>
        <v>0.63400020576150706</v>
      </c>
      <c r="AW58" s="65">
        <f t="shared" si="102"/>
        <v>0.36599136389077497</v>
      </c>
      <c r="AX58" s="65">
        <f t="shared" si="102"/>
        <v>9.5393574269444129E-2</v>
      </c>
      <c r="AY58" s="65">
        <f t="shared" si="74"/>
        <v>0.28891769776675336</v>
      </c>
      <c r="AZ58" s="65">
        <f t="shared" si="75"/>
        <v>9.0691606555915502E-2</v>
      </c>
      <c r="BA58" s="65">
        <f t="shared" si="76"/>
        <v>6.5830764189248048E-2</v>
      </c>
      <c r="BB58" s="65">
        <f t="shared" si="77"/>
        <v>4.5461580182887028E-3</v>
      </c>
      <c r="BC58" s="65">
        <f t="shared" si="78"/>
        <v>9.9998247418751577E-3</v>
      </c>
      <c r="BD58" s="65">
        <f t="shared" si="79"/>
        <v>1.5192550896469991E-4</v>
      </c>
      <c r="BE58" s="65">
        <f t="shared" si="80"/>
        <v>1.1392450334552402E-3</v>
      </c>
      <c r="BF58" s="65">
        <f t="shared" si="81"/>
        <v>3.8078351293547133E-6</v>
      </c>
      <c r="BG58" s="65">
        <f t="shared" si="82"/>
        <v>1.0383215944315072E-4</v>
      </c>
      <c r="BH58" s="65">
        <f t="shared" si="83"/>
        <v>7.6351145880139617E-8</v>
      </c>
    </row>
    <row r="59" spans="1:60" x14ac:dyDescent="0.3">
      <c r="A59" s="76"/>
      <c r="B59" s="62">
        <f t="shared" si="84"/>
        <v>8884</v>
      </c>
      <c r="C59" s="63">
        <v>480</v>
      </c>
      <c r="D59" s="64">
        <f t="shared" si="85"/>
        <v>0.72410112000000004</v>
      </c>
      <c r="E59" s="65">
        <f t="shared" si="52"/>
        <v>1.8411317544590728</v>
      </c>
      <c r="F59" s="65">
        <f t="shared" si="86"/>
        <v>1.8411317544590728</v>
      </c>
      <c r="G59" s="65">
        <f t="shared" si="87"/>
        <v>0.40504898598099603</v>
      </c>
      <c r="H59" s="65">
        <f t="shared" si="53"/>
        <v>0.15863778545047735</v>
      </c>
      <c r="I59" s="65">
        <f t="shared" si="88"/>
        <v>0.82987394642504786</v>
      </c>
      <c r="J59" s="90">
        <f t="shared" si="88"/>
        <v>0.33305152085688849</v>
      </c>
      <c r="K59" s="65">
        <f t="shared" si="54"/>
        <v>0.29207306424993934</v>
      </c>
      <c r="L59" s="65">
        <f t="shared" si="55"/>
        <v>0.27014504726678318</v>
      </c>
      <c r="M59" s="65">
        <f t="shared" si="56"/>
        <v>0.2688724966063642</v>
      </c>
      <c r="N59" s="65">
        <f t="shared" si="57"/>
        <v>5.4710988731599387E-2</v>
      </c>
      <c r="O59" s="65">
        <f t="shared" si="58"/>
        <v>0.16500989713422212</v>
      </c>
      <c r="P59" s="65">
        <f t="shared" si="59"/>
        <v>7.3868768359173428E-3</v>
      </c>
      <c r="Q59" s="65">
        <f t="shared" si="60"/>
        <v>7.5951240353460389E-2</v>
      </c>
      <c r="R59" s="65">
        <f t="shared" si="61"/>
        <v>7.4801174298870727E-4</v>
      </c>
      <c r="S59" s="65">
        <f t="shared" si="62"/>
        <v>2.7967248081061848E-2</v>
      </c>
      <c r="T59" s="65">
        <f t="shared" si="63"/>
        <v>6.0596279599890658E-5</v>
      </c>
      <c r="U59" s="76"/>
      <c r="V59" s="62">
        <f t="shared" si="64"/>
        <v>2540</v>
      </c>
      <c r="W59" s="63">
        <v>480</v>
      </c>
      <c r="X59" s="62">
        <f t="shared" si="65"/>
        <v>0.72410112000000004</v>
      </c>
      <c r="Y59" s="65">
        <f t="shared" si="89"/>
        <v>2.1921535694874854</v>
      </c>
      <c r="Z59" s="65">
        <f t="shared" si="90"/>
        <v>2.1921535694874854</v>
      </c>
      <c r="AA59" s="65">
        <f t="shared" si="91"/>
        <v>0.48227378528724674</v>
      </c>
      <c r="AB59" s="65">
        <f t="shared" si="66"/>
        <v>0.1116759874633569</v>
      </c>
      <c r="AC59" s="65">
        <f t="shared" si="92"/>
        <v>0.86378578473439604</v>
      </c>
      <c r="AD59" s="65">
        <f t="shared" si="92"/>
        <v>0.38261041075333302</v>
      </c>
      <c r="AE59" s="65">
        <f t="shared" si="93"/>
        <v>0.24481091454383749</v>
      </c>
      <c r="AF59" s="65">
        <f t="shared" si="94"/>
        <v>0.29774522964677513</v>
      </c>
      <c r="AG59" s="65">
        <f t="shared" si="67"/>
        <v>0.26833156008338455</v>
      </c>
      <c r="AH59" s="65">
        <f t="shared" si="95"/>
        <v>7.1797359476485412E-2</v>
      </c>
      <c r="AI59" s="65">
        <f t="shared" si="68"/>
        <v>0.19607466241431237</v>
      </c>
      <c r="AJ59" s="65">
        <f t="shared" si="96"/>
        <v>1.1541994776117932E-2</v>
      </c>
      <c r="AK59" s="65">
        <f t="shared" si="69"/>
        <v>0.10745644277439713</v>
      </c>
      <c r="AL59" s="65">
        <f t="shared" si="97"/>
        <v>1.3916003776110056E-3</v>
      </c>
      <c r="AM59" s="65">
        <f t="shared" si="70"/>
        <v>4.7112204918464469E-2</v>
      </c>
      <c r="AN59" s="65">
        <f t="shared" si="98"/>
        <v>1.3422647634352432E-4</v>
      </c>
      <c r="AO59" s="76"/>
      <c r="AP59" s="62">
        <f t="shared" si="99"/>
        <v>1044</v>
      </c>
      <c r="AQ59" s="63">
        <v>480</v>
      </c>
      <c r="AR59" s="64">
        <f t="shared" si="71"/>
        <v>0.72410112000000004</v>
      </c>
      <c r="AS59" s="65">
        <f t="shared" si="72"/>
        <v>0.51849215999999998</v>
      </c>
      <c r="AT59" s="65">
        <f t="shared" si="100"/>
        <v>0.51849215999999998</v>
      </c>
      <c r="AU59" s="65">
        <f t="shared" si="101"/>
        <v>0.11406827519999996</v>
      </c>
      <c r="AV59" s="65">
        <f t="shared" si="73"/>
        <v>0.59541766601851209</v>
      </c>
      <c r="AW59" s="65">
        <f>SUM(AY59,BA59,BC59,BE59,BG59)</f>
        <v>0.40456499477414765</v>
      </c>
      <c r="AX59" s="65">
        <f>SUM(AZ59,BB59,BD59,BF59,BH59)</f>
        <v>0.10780295835355609</v>
      </c>
      <c r="AY59" s="65">
        <f t="shared" si="74"/>
        <v>0.30871939175609692</v>
      </c>
      <c r="AZ59" s="65">
        <f t="shared" si="75"/>
        <v>0.10177137736263107</v>
      </c>
      <c r="BA59" s="65">
        <f t="shared" si="76"/>
        <v>8.0034292132752441E-2</v>
      </c>
      <c r="BB59" s="65">
        <f t="shared" si="77"/>
        <v>5.8044427402418244E-3</v>
      </c>
      <c r="BC59" s="65">
        <f t="shared" si="78"/>
        <v>1.3832384333993938E-2</v>
      </c>
      <c r="BD59" s="65">
        <f t="shared" si="79"/>
        <v>2.2070092395884875E-4</v>
      </c>
      <c r="BE59" s="65">
        <f t="shared" si="80"/>
        <v>1.7929957078206694E-3</v>
      </c>
      <c r="BF59" s="65">
        <f t="shared" si="81"/>
        <v>6.2937434327580559E-6</v>
      </c>
      <c r="BG59" s="65">
        <f t="shared" si="82"/>
        <v>1.8593084348373352E-4</v>
      </c>
      <c r="BH59" s="65">
        <f t="shared" si="83"/>
        <v>1.435832915852077E-7</v>
      </c>
    </row>
    <row r="60" spans="1:60" ht="15" thickBot="1" x14ac:dyDescent="0.35">
      <c r="A60" s="38"/>
      <c r="B60" s="62">
        <f t="shared" si="84"/>
        <v>8884</v>
      </c>
      <c r="C60" s="63">
        <v>510</v>
      </c>
      <c r="D60" s="64">
        <f t="shared" si="85"/>
        <v>0.81744227999999997</v>
      </c>
      <c r="E60" s="65">
        <f t="shared" si="52"/>
        <v>2.0784651446823128</v>
      </c>
      <c r="F60" s="65">
        <f t="shared" si="86"/>
        <v>2.0784651446823128</v>
      </c>
      <c r="G60" s="65">
        <f t="shared" si="87"/>
        <v>0.45726233183010878</v>
      </c>
      <c r="H60" s="65">
        <f t="shared" si="53"/>
        <v>0.12512210922853137</v>
      </c>
      <c r="I60" s="65">
        <f>SUM(K60,M60,O60,Q60,S60)</f>
        <v>0.85531302827433087</v>
      </c>
      <c r="J60" s="93">
        <f>SUM(L60,N60,P60,R60,T60)</f>
        <v>0.3669771483055328</v>
      </c>
      <c r="K60" s="65">
        <f t="shared" si="54"/>
        <v>0.26006194286063561</v>
      </c>
      <c r="L60" s="65">
        <f t="shared" si="55"/>
        <v>0.28945357591909887</v>
      </c>
      <c r="M60" s="65">
        <f t="shared" si="56"/>
        <v>0.27026484184709715</v>
      </c>
      <c r="N60" s="65">
        <f t="shared" si="57"/>
        <v>6.617810854066529E-2</v>
      </c>
      <c r="O60" s="65">
        <f t="shared" si="58"/>
        <v>0.18724535120408972</v>
      </c>
      <c r="P60" s="65">
        <f t="shared" si="59"/>
        <v>1.0086918742470216E-2</v>
      </c>
      <c r="Q60" s="65">
        <f t="shared" si="60"/>
        <v>9.7295733995374722E-2</v>
      </c>
      <c r="R60" s="65">
        <f t="shared" si="61"/>
        <v>1.1530919962906899E-3</v>
      </c>
      <c r="S60" s="65">
        <f t="shared" si="62"/>
        <v>4.0445158367133673E-2</v>
      </c>
      <c r="T60" s="65">
        <f t="shared" si="63"/>
        <v>1.054531070077032E-4</v>
      </c>
      <c r="U60" s="76"/>
      <c r="V60" s="62">
        <f t="shared" si="64"/>
        <v>2540</v>
      </c>
      <c r="W60" s="63">
        <v>510</v>
      </c>
      <c r="X60" s="62">
        <f t="shared" si="65"/>
        <v>0.81744227999999997</v>
      </c>
      <c r="Y60" s="65">
        <f t="shared" si="89"/>
        <v>2.4747358655542313</v>
      </c>
      <c r="Z60" s="65">
        <f t="shared" si="90"/>
        <v>2.4747358655542313</v>
      </c>
      <c r="AA60" s="65">
        <f t="shared" si="91"/>
        <v>0.54444189042193081</v>
      </c>
      <c r="AB60" s="65">
        <f t="shared" si="66"/>
        <v>8.4185223538254625E-2</v>
      </c>
      <c r="AC60" s="65">
        <f>SUM(AE60,AG60,AI60,AK60,AM60)</f>
        <v>0.87546012430095943</v>
      </c>
      <c r="AD60" s="65">
        <f>SUM(AF60,AH60,AJ60,AL60,AN60)</f>
        <v>0.41981177471652009</v>
      </c>
      <c r="AE60" s="65">
        <f t="shared" si="93"/>
        <v>0.20833619203981901</v>
      </c>
      <c r="AF60" s="65">
        <f t="shared" si="94"/>
        <v>0.31586639554303536</v>
      </c>
      <c r="AG60" s="65">
        <f t="shared" si="67"/>
        <v>0.257788523266967</v>
      </c>
      <c r="AH60" s="65">
        <f t="shared" si="95"/>
        <v>8.5985448755105762E-2</v>
      </c>
      <c r="AI60" s="65">
        <f t="shared" si="68"/>
        <v>0.21265283475234156</v>
      </c>
      <c r="AJ60" s="65">
        <f t="shared" si="96"/>
        <v>1.560469342300261E-2</v>
      </c>
      <c r="AK60" s="65">
        <f t="shared" si="69"/>
        <v>0.13156489926834922</v>
      </c>
      <c r="AL60" s="65">
        <f t="shared" si="97"/>
        <v>2.123962196668553E-3</v>
      </c>
      <c r="AM60" s="65">
        <f t="shared" si="70"/>
        <v>6.5117674973482684E-2</v>
      </c>
      <c r="AN60" s="65">
        <f t="shared" si="98"/>
        <v>2.3127479870778877E-4</v>
      </c>
      <c r="AO60" s="76"/>
      <c r="AP60" s="62">
        <f t="shared" si="99"/>
        <v>1044</v>
      </c>
      <c r="AQ60" s="63">
        <v>510</v>
      </c>
      <c r="AR60" s="64">
        <f t="shared" si="71"/>
        <v>0.81744227999999997</v>
      </c>
      <c r="AS60" s="65">
        <f t="shared" si="72"/>
        <v>0.58532903999999997</v>
      </c>
      <c r="AT60" s="65">
        <f t="shared" si="100"/>
        <v>0.58532903999999997</v>
      </c>
      <c r="AU60" s="65">
        <f>1*($AS60-($AS60*0.78))</f>
        <v>0.12877238879999997</v>
      </c>
      <c r="AV60" s="65">
        <f t="shared" si="73"/>
        <v>0.55692258185427557</v>
      </c>
      <c r="AW60" s="65">
        <f>SUM(AY60,BA60,BC60,BE60,BG60)</f>
        <v>0.44304350620939176</v>
      </c>
      <c r="AX60" s="65">
        <f>SUM(AZ60,BB60,BD60,BF60,BH60)</f>
        <v>0.12082594169334664</v>
      </c>
      <c r="AY60" s="65">
        <f t="shared" si="74"/>
        <v>0.32598296019108453</v>
      </c>
      <c r="AZ60" s="65">
        <f t="shared" si="75"/>
        <v>0.11321334292876231</v>
      </c>
      <c r="BA60" s="65">
        <f t="shared" si="76"/>
        <v>9.5403646572502845E-2</v>
      </c>
      <c r="BB60" s="65">
        <f t="shared" si="77"/>
        <v>7.2893763064851534E-3</v>
      </c>
      <c r="BC60" s="65">
        <f t="shared" si="78"/>
        <v>1.8614174953594128E-2</v>
      </c>
      <c r="BD60" s="65">
        <f t="shared" si="79"/>
        <v>3.1289013328273795E-4</v>
      </c>
      <c r="BE60" s="65">
        <f t="shared" si="80"/>
        <v>2.7238542889948237E-3</v>
      </c>
      <c r="BF60" s="65">
        <f t="shared" si="81"/>
        <v>1.0072902473692136E-5</v>
      </c>
      <c r="BG60" s="65">
        <f t="shared" si="82"/>
        <v>3.1887020321544449E-4</v>
      </c>
      <c r="BH60" s="65">
        <f t="shared" si="83"/>
        <v>2.5942234273735303E-7</v>
      </c>
    </row>
    <row r="61" spans="1:60" x14ac:dyDescent="0.3">
      <c r="A61" s="38"/>
      <c r="B61" s="38"/>
      <c r="C61" s="38"/>
      <c r="D61" s="38"/>
      <c r="E61" s="38"/>
      <c r="F61" s="38"/>
      <c r="G61" s="38"/>
      <c r="H61" s="38"/>
      <c r="I61" s="38"/>
      <c r="J61" s="38"/>
      <c r="K61" s="38"/>
      <c r="L61" s="38"/>
      <c r="M61" s="38"/>
      <c r="N61" s="38"/>
      <c r="O61" s="38"/>
      <c r="P61" s="38"/>
      <c r="Q61" s="38"/>
      <c r="R61" s="38"/>
      <c r="S61" s="38"/>
      <c r="T61" s="38"/>
      <c r="U61" s="38"/>
      <c r="V61" s="38"/>
      <c r="W61" s="38"/>
      <c r="X61" s="38"/>
      <c r="Y61" s="38"/>
      <c r="Z61" s="38"/>
      <c r="AA61" s="38"/>
      <c r="AB61" s="38"/>
      <c r="AC61" s="38"/>
      <c r="AD61" s="38"/>
      <c r="AE61" s="38"/>
      <c r="AF61" s="38"/>
      <c r="AG61" s="38"/>
      <c r="AH61" s="38"/>
      <c r="AI61" s="38"/>
      <c r="AJ61" s="38"/>
      <c r="AK61" s="38"/>
      <c r="AL61" s="38"/>
      <c r="AM61" s="38"/>
      <c r="AN61" s="38"/>
      <c r="AO61" s="38"/>
      <c r="AP61" s="38"/>
      <c r="AQ61" s="38"/>
      <c r="AR61" s="38"/>
      <c r="AS61" s="38"/>
      <c r="AT61" s="38"/>
      <c r="AU61" s="38"/>
      <c r="AV61" s="38"/>
      <c r="AW61" s="38"/>
      <c r="AX61" s="38"/>
      <c r="AY61" s="38"/>
      <c r="AZ61" s="38"/>
      <c r="BA61" s="38"/>
    </row>
    <row r="62" spans="1:60" ht="40.5" customHeight="1" x14ac:dyDescent="0.3">
      <c r="A62" s="1388" t="s">
        <v>387</v>
      </c>
      <c r="B62" s="1388"/>
      <c r="C62" s="1388"/>
      <c r="D62" s="1388"/>
      <c r="E62" s="1388"/>
      <c r="F62" s="1388"/>
      <c r="G62" s="1388"/>
      <c r="H62" s="1388"/>
      <c r="I62" s="1388"/>
      <c r="J62" s="1388"/>
      <c r="K62" s="1388"/>
      <c r="L62" s="1388"/>
      <c r="M62" s="1388"/>
      <c r="N62" s="1388"/>
      <c r="O62" s="1388"/>
      <c r="P62" s="1388"/>
      <c r="Q62" s="1388"/>
      <c r="R62" s="1388"/>
      <c r="S62" s="1388"/>
      <c r="T62" s="1388"/>
      <c r="U62" s="1383" t="s">
        <v>388</v>
      </c>
      <c r="V62" s="1383"/>
      <c r="W62" s="1383"/>
      <c r="X62" s="1383"/>
      <c r="Y62" s="1383"/>
      <c r="Z62" s="1383"/>
      <c r="AA62" s="1383"/>
      <c r="AB62" s="1383"/>
      <c r="AC62" s="1383"/>
      <c r="AD62" s="1383"/>
      <c r="AE62" s="1383"/>
      <c r="AF62" s="1383"/>
      <c r="AG62" s="1383"/>
      <c r="AH62" s="1383"/>
      <c r="AI62" s="1383"/>
      <c r="AJ62" s="1383"/>
      <c r="AK62" s="1383"/>
      <c r="AL62" s="1383"/>
      <c r="AM62" s="1383"/>
      <c r="AN62" s="1383"/>
      <c r="AO62" s="1383" t="s">
        <v>389</v>
      </c>
      <c r="AP62" s="1383"/>
      <c r="AQ62" s="1383"/>
      <c r="AR62" s="1383"/>
      <c r="AS62" s="1383"/>
      <c r="AT62" s="1383"/>
      <c r="AU62" s="1383"/>
      <c r="AV62" s="1383"/>
      <c r="AW62" s="1383"/>
      <c r="AX62" s="1383"/>
      <c r="AY62" s="1383"/>
      <c r="AZ62" s="1383"/>
      <c r="BA62" s="1383"/>
      <c r="BB62" s="1383"/>
      <c r="BC62" s="1383"/>
      <c r="BD62" s="1383"/>
      <c r="BE62" s="1383"/>
      <c r="BF62" s="1383"/>
      <c r="BG62" s="1383"/>
      <c r="BH62" s="50"/>
    </row>
    <row r="63" spans="1:60" ht="80.400000000000006" thickBot="1" x14ac:dyDescent="0.35">
      <c r="A63" s="57"/>
      <c r="B63" s="88" t="s">
        <v>362</v>
      </c>
      <c r="C63" s="88" t="s">
        <v>363</v>
      </c>
      <c r="D63" s="89" t="s">
        <v>364</v>
      </c>
      <c r="E63" s="52" t="s">
        <v>365</v>
      </c>
      <c r="F63" s="52" t="s">
        <v>366</v>
      </c>
      <c r="G63" s="52" t="s">
        <v>367</v>
      </c>
      <c r="H63" s="53" t="s">
        <v>368</v>
      </c>
      <c r="I63" s="52" t="s">
        <v>382</v>
      </c>
      <c r="J63" s="52" t="s">
        <v>383</v>
      </c>
      <c r="K63" s="53" t="s">
        <v>371</v>
      </c>
      <c r="L63" s="53" t="s">
        <v>372</v>
      </c>
      <c r="M63" s="53" t="s">
        <v>373</v>
      </c>
      <c r="N63" s="53" t="s">
        <v>374</v>
      </c>
      <c r="O63" s="53" t="s">
        <v>375</v>
      </c>
      <c r="P63" s="53" t="s">
        <v>376</v>
      </c>
      <c r="Q63" s="53" t="s">
        <v>377</v>
      </c>
      <c r="R63" s="53" t="s">
        <v>378</v>
      </c>
      <c r="S63" s="53" t="s">
        <v>379</v>
      </c>
      <c r="T63" s="53" t="s">
        <v>380</v>
      </c>
      <c r="U63" s="57"/>
      <c r="V63" s="58" t="s">
        <v>362</v>
      </c>
      <c r="W63" s="58" t="s">
        <v>363</v>
      </c>
      <c r="X63" s="59" t="s">
        <v>364</v>
      </c>
      <c r="Y63" s="57" t="s">
        <v>365</v>
      </c>
      <c r="Z63" s="52" t="s">
        <v>366</v>
      </c>
      <c r="AA63" s="52" t="s">
        <v>367</v>
      </c>
      <c r="AB63" s="60" t="s">
        <v>368</v>
      </c>
      <c r="AC63" s="57" t="s">
        <v>382</v>
      </c>
      <c r="AD63" s="57" t="s">
        <v>383</v>
      </c>
      <c r="AE63" s="60" t="s">
        <v>371</v>
      </c>
      <c r="AF63" s="60" t="s">
        <v>372</v>
      </c>
      <c r="AG63" s="60" t="s">
        <v>373</v>
      </c>
      <c r="AH63" s="60" t="s">
        <v>374</v>
      </c>
      <c r="AI63" s="60" t="s">
        <v>375</v>
      </c>
      <c r="AJ63" s="60" t="s">
        <v>376</v>
      </c>
      <c r="AK63" s="60" t="s">
        <v>377</v>
      </c>
      <c r="AL63" s="60" t="s">
        <v>378</v>
      </c>
      <c r="AM63" s="60" t="s">
        <v>379</v>
      </c>
      <c r="AN63" s="60" t="s">
        <v>380</v>
      </c>
      <c r="AO63" s="57"/>
      <c r="AP63" s="58" t="s">
        <v>362</v>
      </c>
      <c r="AQ63" s="58" t="s">
        <v>363</v>
      </c>
      <c r="AR63" s="59" t="s">
        <v>364</v>
      </c>
      <c r="AS63" s="57" t="s">
        <v>365</v>
      </c>
      <c r="AT63" s="52" t="s">
        <v>366</v>
      </c>
      <c r="AU63" s="52" t="s">
        <v>367</v>
      </c>
      <c r="AV63" s="60" t="s">
        <v>368</v>
      </c>
      <c r="AW63" s="57" t="s">
        <v>382</v>
      </c>
      <c r="AX63" s="57" t="s">
        <v>383</v>
      </c>
      <c r="AY63" s="60" t="s">
        <v>371</v>
      </c>
      <c r="AZ63" s="60" t="s">
        <v>372</v>
      </c>
      <c r="BA63" s="60" t="s">
        <v>373</v>
      </c>
      <c r="BB63" s="60" t="s">
        <v>374</v>
      </c>
      <c r="BC63" s="60" t="s">
        <v>375</v>
      </c>
      <c r="BD63" s="60" t="s">
        <v>376</v>
      </c>
      <c r="BE63" s="60" t="s">
        <v>377</v>
      </c>
      <c r="BF63" s="60" t="s">
        <v>378</v>
      </c>
      <c r="BG63" s="60" t="s">
        <v>379</v>
      </c>
      <c r="BH63" s="60" t="s">
        <v>380</v>
      </c>
    </row>
    <row r="64" spans="1:60" ht="15" thickTop="1" x14ac:dyDescent="0.3">
      <c r="A64" s="57"/>
      <c r="B64" s="62">
        <f>ROUNDUP(1.84*($D$6/$O$13),0)</f>
        <v>4172</v>
      </c>
      <c r="C64" s="63">
        <v>30</v>
      </c>
      <c r="D64" s="64">
        <f t="shared" ref="D64:D118" si="103">((C64^2)*3.1428)/1000000</f>
        <v>2.8285200000000002E-3</v>
      </c>
      <c r="E64" s="65">
        <f t="shared" ref="E64:E115" si="104">B64/(3494/$D64)</f>
        <v>3.3773856439610764E-3</v>
      </c>
      <c r="F64" s="65">
        <f>1*E64</f>
        <v>3.3773856439610764E-3</v>
      </c>
      <c r="G64" s="65">
        <f>1*($E64-($E64*0.78))</f>
        <v>7.4302484167143665E-4</v>
      </c>
      <c r="H64" s="65">
        <f t="shared" ref="H64:H118" si="105">EXP(-$E64)</f>
        <v>0.99662831130752749</v>
      </c>
      <c r="I64" s="65">
        <f t="shared" ref="I64:J79" si="106">SUM(K64,M64,O64,Q64,S64)</f>
        <v>3.371688692472475E-3</v>
      </c>
      <c r="J64" s="90">
        <f t="shared" si="106"/>
        <v>7.4274886706999295E-4</v>
      </c>
      <c r="K64" s="65">
        <f t="shared" ref="K64:K80" si="107">EXP(-$F64)*POWER($F64,1)</f>
        <v>3.3659981509752139E-3</v>
      </c>
      <c r="L64" s="65">
        <f t="shared" ref="L64:L80" si="108">EXP(-$G64)*POWER($G64,1)</f>
        <v>7.4247296081208028E-4</v>
      </c>
      <c r="M64" s="65">
        <f t="shared" ref="M64:M80" si="109">EXP(-$F64)*POWER($F64,2)/FACT(2)</f>
        <v>5.6841369163516076E-6</v>
      </c>
      <c r="N64" s="65">
        <f t="shared" ref="N64:N80" si="110">EXP(-$G64)*POWER($G64,2)/FACT(2)</f>
        <v>2.758379270763594E-7</v>
      </c>
      <c r="O64" s="65">
        <f t="shared" ref="O64:O80" si="111">EXP(-$F64)*POWER($F64,3)/FACT(3)</f>
        <v>6.3991741398650333E-9</v>
      </c>
      <c r="P64" s="65">
        <f t="shared" ref="P64:P80" si="112">EXP(-$G64)*POWER($G64,3)/FACT(3)</f>
        <v>6.8318144030963081E-11</v>
      </c>
      <c r="Q64" s="65">
        <f t="shared" ref="Q64:Q80" si="113">EXP(-$F64)*POWER($F64,4)/FACT(4)</f>
        <v>5.4031197182967827E-12</v>
      </c>
      <c r="R64" s="65">
        <f t="shared" ref="R64:R80" si="114">EXP(-$G64)*POWER($G64,4)/FACT(4)</f>
        <v>1.2690519537973188E-14</v>
      </c>
      <c r="S64" s="65">
        <f t="shared" ref="S64:S80" si="115">EXP(-$F64)*POWER($F64,5)/FACT(5)</f>
        <v>3.6496837938357138E-15</v>
      </c>
      <c r="T64" s="65">
        <f t="shared" ref="T64:T80" si="116">EXP(-$G64)*POWER($G64,5)/FACT(5)</f>
        <v>1.8858742540861604E-18</v>
      </c>
      <c r="U64" s="68"/>
      <c r="V64" s="62">
        <f>ROUNDUP($G$3/$O$13,0)</f>
        <v>1193</v>
      </c>
      <c r="W64" s="63">
        <v>30</v>
      </c>
      <c r="X64" s="86">
        <f t="shared" ref="X64:X80" si="117">((W64^2)*3.1428)/1000000</f>
        <v>2.8285200000000002E-3</v>
      </c>
      <c r="Y64" s="65">
        <f>V64/(839/$X64)</f>
        <v>4.0219599046483912E-3</v>
      </c>
      <c r="Z64" s="65">
        <f>1*$Y64</f>
        <v>4.0219599046483912E-3</v>
      </c>
      <c r="AA64" s="65">
        <f>1*($Y64-($Y64*0.78))</f>
        <v>8.8483117902264609E-4</v>
      </c>
      <c r="AB64" s="65">
        <f t="shared" ref="AB64:AB80" si="118">EXP(-$Z64)</f>
        <v>0.99598611734367082</v>
      </c>
      <c r="AC64" s="65">
        <f>SUM(AE64,AG64,AI64,AK64,AM64)</f>
        <v>4.0138826563291532E-3</v>
      </c>
      <c r="AD64" s="65">
        <f>SUM(AF64,AH64,AJ64,AL64,AN64)</f>
        <v>8.8443983134901252E-4</v>
      </c>
      <c r="AE64" s="65">
        <f t="shared" ref="AE64:AE80" si="119">EXP(-$Z64)*POWER($Z64,1)</f>
        <v>4.0058162295426719E-3</v>
      </c>
      <c r="AF64" s="65">
        <f>EXP(-$AA64)*POWER($AA64,1)</f>
        <v>8.8404859908389893E-4</v>
      </c>
      <c r="AG64" s="65">
        <f t="shared" ref="AG64:AG80" si="120">EXP(-$Z64)*POWER($Z64,2)/FACT(2)</f>
        <v>8.0556161303052108E-6</v>
      </c>
      <c r="AH64" s="65">
        <f>EXP(-$AA64)*POWER($AA64,2)/FACT(2)</f>
        <v>3.9111688212036247E-7</v>
      </c>
      <c r="AI64" s="65">
        <f t="shared" ref="AI64:AI80" si="121">EXP(-$Z64)*POWER($Z64,3)/FACT(3)</f>
        <v>1.0799788361108796E-8</v>
      </c>
      <c r="AJ64" s="65">
        <f>EXP(-$AA64)*POWER($AA64,3)/FACT(3)</f>
        <v>1.1535747064740719E-10</v>
      </c>
      <c r="AK64" s="65">
        <f t="shared" ref="AK64:AK80" si="122">EXP(-$Z64)*POWER($Z64,4)/FACT(4)</f>
        <v>1.0859078941766984E-11</v>
      </c>
      <c r="AL64" s="65">
        <f>EXP(-$AA64)*POWER($AA64,4)/FACT(4)</f>
        <v>2.5517971690503901E-14</v>
      </c>
      <c r="AM64" s="65">
        <f t="shared" ref="AM64:AM80" si="123">EXP(-$Z64)*POWER($Z64,5)/FACT(5)</f>
        <v>8.7349560210396999E-15</v>
      </c>
      <c r="AN64" s="65">
        <f>EXP(-$AA64)*POWER($AA64,5)/FACT(5)</f>
        <v>4.5158193954350141E-18</v>
      </c>
      <c r="AO64" s="68"/>
      <c r="AP64" s="62">
        <f>ROUNDUP($G$5/$O$13,0)</f>
        <v>491</v>
      </c>
      <c r="AQ64" s="63">
        <v>30</v>
      </c>
      <c r="AR64" s="64">
        <f t="shared" ref="AR64:AR85" si="124">((AQ64^2)*3.1428)/1000000</f>
        <v>2.8285200000000002E-3</v>
      </c>
      <c r="AS64" s="65">
        <f t="shared" ref="AS64:AS85" si="125">AP64/(1458/$AR64)</f>
        <v>9.5254000000000009E-4</v>
      </c>
      <c r="AT64" s="65">
        <f>1*AS64</f>
        <v>9.5254000000000009E-4</v>
      </c>
      <c r="AU64" s="65">
        <f>1*($AS64-($AS64*0.78))</f>
        <v>2.0955880000000004E-4</v>
      </c>
      <c r="AV64" s="65">
        <f t="shared" ref="AV64:AV85" si="126">EXP(-$AT64)</f>
        <v>0.999047913522215</v>
      </c>
      <c r="AW64" s="65">
        <f>SUM(AY64,BA64,BC64,BE64,BG64)</f>
        <v>9.5208647778497997E-4</v>
      </c>
      <c r="AX64" s="65">
        <f>SUM(AZ64,BB64,BD64,BF64,BH64)</f>
        <v>2.0953684408838295E-4</v>
      </c>
      <c r="AY64" s="65">
        <f t="shared" ref="AY64:AY85" si="127">EXP(-$AT64)*POWER($AT64,1)</f>
        <v>9.5163309954645074E-4</v>
      </c>
      <c r="AZ64" s="65">
        <f t="shared" ref="AZ64:AZ85" si="128">EXP(-$AU64)*POWER($AU64,1)</f>
        <v>2.095148897103971E-4</v>
      </c>
      <c r="BA64" s="65">
        <f t="shared" ref="BA64:BA85" si="129">EXP(-$AT64)*POWER($AT64,2)/FACT(2)</f>
        <v>4.5323429632098817E-7</v>
      </c>
      <c r="BB64" s="65">
        <f t="shared" ref="BB64:BB85" si="130">EXP(-$AU64)*POWER($AU64,2)/FACT(2)</f>
        <v>2.1952844434921585E-8</v>
      </c>
      <c r="BC64" s="65">
        <f t="shared" ref="BC64:BC85" si="131">EXP(-$AT64)*POWER($AT64,3)/FACT(3)</f>
        <v>1.439079322058647E-10</v>
      </c>
      <c r="BD64" s="65">
        <f t="shared" ref="BD64:BD85" si="132">EXP(-$AU64)*POWER($AU64,3)/FACT(3)</f>
        <v>1.5334705787896153E-12</v>
      </c>
      <c r="BE64" s="65">
        <f t="shared" ref="BE64:BE85" si="133">EXP(-$AT64)*POWER($AT64,4)/FACT(4)</f>
        <v>3.4269515435843594E-14</v>
      </c>
      <c r="BF64" s="65">
        <f t="shared" ref="BF64:BF85" si="134">EXP(-$AU64)*POWER($AU64,4)/FACT(4)</f>
        <v>8.0338063581614342E-17</v>
      </c>
      <c r="BG64" s="65">
        <f t="shared" ref="BG64:BG85" si="135">EXP(-$AT64)*POWER($AT64,5)/FACT(5)</f>
        <v>6.5286168466516911E-18</v>
      </c>
      <c r="BH64" s="65">
        <f t="shared" ref="BH64:BH85" si="136">EXP(-$AU64)*POWER($AU64,5)/FACT(5)</f>
        <v>3.3671096396973615E-21</v>
      </c>
    </row>
    <row r="65" spans="1:60" x14ac:dyDescent="0.3">
      <c r="A65" s="57"/>
      <c r="B65" s="62">
        <f t="shared" ref="B65:B118" si="137">ROUNDUP(1.84*($D$6/$O$13),0)</f>
        <v>4172</v>
      </c>
      <c r="C65" s="63">
        <v>60</v>
      </c>
      <c r="D65" s="64">
        <f t="shared" si="103"/>
        <v>1.1314080000000001E-2</v>
      </c>
      <c r="E65" s="65">
        <f t="shared" si="104"/>
        <v>1.3509542575844306E-2</v>
      </c>
      <c r="F65" s="65">
        <f t="shared" ref="F65:F118" si="138">1*E65</f>
        <v>1.3509542575844306E-2</v>
      </c>
      <c r="G65" s="65">
        <f t="shared" ref="G65:G118" si="139">1*($E65-($E65*0.78))</f>
        <v>2.9720993666857466E-3</v>
      </c>
      <c r="H65" s="65">
        <f t="shared" si="105"/>
        <v>0.98658130174591463</v>
      </c>
      <c r="I65" s="65">
        <f t="shared" si="106"/>
        <v>1.3418698254077066E-2</v>
      </c>
      <c r="J65" s="90">
        <f t="shared" si="106"/>
        <v>2.9676870517249608E-3</v>
      </c>
      <c r="K65" s="65">
        <f t="shared" si="107"/>
        <v>1.3328262100468332E-2</v>
      </c>
      <c r="L65" s="65">
        <f t="shared" si="108"/>
        <v>2.9632791058787932E-3</v>
      </c>
      <c r="M65" s="65">
        <f t="shared" si="109"/>
        <v>9.0029362154144484E-5</v>
      </c>
      <c r="N65" s="65">
        <f t="shared" si="110"/>
        <v>4.403579976947734E-6</v>
      </c>
      <c r="O65" s="65">
        <f t="shared" si="111"/>
        <v>4.054185003658403E-7</v>
      </c>
      <c r="P65" s="65">
        <f t="shared" si="112"/>
        <v>4.3626257535454654E-9</v>
      </c>
      <c r="Q65" s="65">
        <f t="shared" si="113"/>
        <v>1.3692546229318173E-9</v>
      </c>
      <c r="R65" s="65">
        <f t="shared" si="114"/>
        <v>3.241539309799851E-12</v>
      </c>
      <c r="S65" s="65">
        <f t="shared" si="115"/>
        <v>3.6996007251338059E-12</v>
      </c>
      <c r="T65" s="65">
        <f t="shared" si="116"/>
        <v>1.9268353859486183E-15</v>
      </c>
      <c r="U65" s="68"/>
      <c r="V65" s="62">
        <f t="shared" ref="V65:V80" si="140">ROUNDUP($G$3/$O$13,0)</f>
        <v>1193</v>
      </c>
      <c r="W65" s="63">
        <v>60</v>
      </c>
      <c r="X65" s="86">
        <f t="shared" si="117"/>
        <v>1.1314080000000001E-2</v>
      </c>
      <c r="Y65" s="65">
        <f t="shared" ref="Y65:Y80" si="141">V65/(839/$X65)</f>
        <v>1.6087839618593565E-2</v>
      </c>
      <c r="Z65" s="65">
        <f t="shared" ref="Z65:Z79" si="142">1*$Y65</f>
        <v>1.6087839618593565E-2</v>
      </c>
      <c r="AA65" s="65">
        <f t="shared" ref="AA65:AA80" si="143">1*($Y65-($Y65*0.78))</f>
        <v>3.5393247160905843E-3</v>
      </c>
      <c r="AB65" s="65">
        <f t="shared" si="118"/>
        <v>0.98404087848339683</v>
      </c>
      <c r="AC65" s="65">
        <f t="shared" ref="AC65:AD79" si="144">SUM(AE65,AG65,AI65,AK65,AM65)</f>
        <v>1.5959121516579362E-2</v>
      </c>
      <c r="AD65" s="65">
        <f t="shared" si="144"/>
        <v>3.5330686892474719E-3</v>
      </c>
      <c r="AE65" s="65">
        <f t="shared" si="119"/>
        <v>1.5831091831180807E-2</v>
      </c>
      <c r="AF65" s="65">
        <f t="shared" ref="AF65:AF80" si="145">EXP(-$AA65)*POWER($AA65,1)</f>
        <v>3.526820038755085E-3</v>
      </c>
      <c r="AG65" s="65">
        <f t="shared" si="120"/>
        <v>1.2734403318363175E-4</v>
      </c>
      <c r="AH65" s="65">
        <f t="shared" ref="AH65:AH80" si="146">EXP(-$AA65)*POWER($AA65,2)/FACT(2)</f>
        <v>6.2412806661847123E-6</v>
      </c>
      <c r="AI65" s="65">
        <f t="shared" si="121"/>
        <v>6.8289679408104154E-7</v>
      </c>
      <c r="AJ65" s="65">
        <f t="shared" ref="AJ65:AJ80" si="147">EXP(-$AA65)*POWER($AA65,3)/FACT(3)</f>
        <v>7.3633063072952867E-9</v>
      </c>
      <c r="AK65" s="65">
        <f t="shared" si="122"/>
        <v>2.7465835248068779E-9</v>
      </c>
      <c r="AL65" s="65">
        <f t="shared" ref="AL65:AL80" si="148">EXP(-$AA65)*POWER($AA65,4)/FACT(4)</f>
        <v>6.5152830013889758E-12</v>
      </c>
      <c r="AM65" s="65">
        <f t="shared" si="123"/>
        <v>8.8373190492328906E-12</v>
      </c>
      <c r="AN65" s="65">
        <f t="shared" ref="AN65:AN80" si="149">EXP(-$AA65)*POWER($AA65,5)/FACT(5)</f>
        <v>4.6119404318281691E-15</v>
      </c>
      <c r="AO65" s="68"/>
      <c r="AP65" s="62">
        <f t="shared" ref="AP65:AP85" si="150">ROUNDUP($G$5/$O$13,0)</f>
        <v>491</v>
      </c>
      <c r="AQ65" s="63">
        <v>60</v>
      </c>
      <c r="AR65" s="64">
        <f t="shared" si="124"/>
        <v>1.1314080000000001E-2</v>
      </c>
      <c r="AS65" s="65">
        <f t="shared" si="125"/>
        <v>3.8101600000000004E-3</v>
      </c>
      <c r="AT65" s="65">
        <f t="shared" ref="AT65:AT85" si="151">1*AS65</f>
        <v>3.8101600000000004E-3</v>
      </c>
      <c r="AU65" s="65">
        <f t="shared" ref="AU65:AU85" si="152">1*($AS65-($AS65*0.78))</f>
        <v>8.3823520000000018E-4</v>
      </c>
      <c r="AV65" s="65">
        <f t="shared" si="126"/>
        <v>0.99619708944950258</v>
      </c>
      <c r="AW65" s="65">
        <f t="shared" ref="AW65:AX80" si="153">SUM(AY65,BA65,BC65,BE65,BG65)</f>
        <v>3.8029105504973639E-3</v>
      </c>
      <c r="AX65" s="65">
        <f t="shared" si="153"/>
        <v>8.3788397901685911E-4</v>
      </c>
      <c r="AY65" s="65">
        <f t="shared" si="127"/>
        <v>3.7956703023369173E-3</v>
      </c>
      <c r="AZ65" s="65">
        <f t="shared" si="128"/>
        <v>8.3753285615527221E-4</v>
      </c>
      <c r="BA65" s="65">
        <f t="shared" si="129"/>
        <v>7.2310555795760146E-6</v>
      </c>
      <c r="BB65" s="65">
        <f t="shared" si="130"/>
        <v>3.5102476059294301E-7</v>
      </c>
      <c r="BC65" s="65">
        <f t="shared" si="131"/>
        <v>9.1838262423591174E-9</v>
      </c>
      <c r="BD65" s="65">
        <f t="shared" si="132"/>
        <v>9.8080436800192571E-11</v>
      </c>
      <c r="BE65" s="65">
        <f t="shared" si="133"/>
        <v>8.7479618488967544E-12</v>
      </c>
      <c r="BF65" s="65">
        <f t="shared" si="134"/>
        <v>2.0553618639324205E-14</v>
      </c>
      <c r="BG65" s="65">
        <f t="shared" si="135"/>
        <v>6.6662268636384916E-15</v>
      </c>
      <c r="BH65" s="65">
        <f t="shared" si="136"/>
        <v>3.4457533261715311E-18</v>
      </c>
    </row>
    <row r="66" spans="1:60" x14ac:dyDescent="0.3">
      <c r="A66" s="76"/>
      <c r="B66" s="62">
        <f t="shared" si="137"/>
        <v>4172</v>
      </c>
      <c r="C66" s="63">
        <v>90</v>
      </c>
      <c r="D66" s="64">
        <f t="shared" si="103"/>
        <v>2.5456679999999999E-2</v>
      </c>
      <c r="E66" s="65">
        <f t="shared" si="104"/>
        <v>3.0396470795649683E-2</v>
      </c>
      <c r="F66" s="65">
        <f t="shared" si="138"/>
        <v>3.0396470795649683E-2</v>
      </c>
      <c r="G66" s="65">
        <f t="shared" si="139"/>
        <v>6.687223575042929E-3</v>
      </c>
      <c r="H66" s="65">
        <f t="shared" si="105"/>
        <v>0.97006085649733476</v>
      </c>
      <c r="I66" s="65">
        <f t="shared" si="106"/>
        <v>2.9939143501597969E-2</v>
      </c>
      <c r="J66" s="90">
        <f t="shared" si="106"/>
        <v>6.6649138532047349E-3</v>
      </c>
      <c r="K66" s="65">
        <f t="shared" si="107"/>
        <v>2.9486426494524154E-2</v>
      </c>
      <c r="L66" s="65">
        <f t="shared" si="108"/>
        <v>6.6426538059981468E-3</v>
      </c>
      <c r="M66" s="65">
        <f t="shared" si="109"/>
        <v>4.4814165090443727E-4</v>
      </c>
      <c r="N66" s="65">
        <f t="shared" si="110"/>
        <v>2.2210455566159726E-5</v>
      </c>
      <c r="O66" s="65">
        <f t="shared" si="111"/>
        <v>4.540641534676988E-6</v>
      </c>
      <c r="P66" s="65">
        <f t="shared" si="112"/>
        <v>4.9508760691488919E-8</v>
      </c>
      <c r="Q66" s="65">
        <f t="shared" si="113"/>
        <v>3.4504869450580756E-8</v>
      </c>
      <c r="R66" s="65">
        <f t="shared" si="114"/>
        <v>8.276903791682084E-11</v>
      </c>
      <c r="S66" s="65">
        <f t="shared" si="115"/>
        <v>2.0976525131245656E-10</v>
      </c>
      <c r="T66" s="65">
        <f t="shared" si="116"/>
        <v>1.1069901232819727E-13</v>
      </c>
      <c r="U66" s="68"/>
      <c r="V66" s="62">
        <f t="shared" si="140"/>
        <v>1193</v>
      </c>
      <c r="W66" s="63">
        <v>90</v>
      </c>
      <c r="X66" s="86">
        <f t="shared" si="117"/>
        <v>2.5456679999999999E-2</v>
      </c>
      <c r="Y66" s="65">
        <f t="shared" si="141"/>
        <v>3.6197639141835519E-2</v>
      </c>
      <c r="Z66" s="65">
        <f t="shared" si="142"/>
        <v>3.6197639141835519E-2</v>
      </c>
      <c r="AA66" s="65">
        <f t="shared" si="143"/>
        <v>7.9634806112038117E-3</v>
      </c>
      <c r="AB66" s="65">
        <f t="shared" si="118"/>
        <v>0.96444966164211632</v>
      </c>
      <c r="AC66" s="65">
        <f t="shared" si="144"/>
        <v>3.5550338354854827E-2</v>
      </c>
      <c r="AD66" s="65">
        <f t="shared" si="144"/>
        <v>7.9318561022153067E-3</v>
      </c>
      <c r="AE66" s="65">
        <f t="shared" si="119"/>
        <v>3.4910800822586692E-2</v>
      </c>
      <c r="AF66" s="65">
        <f t="shared" si="145"/>
        <v>7.9003154289229577E-3</v>
      </c>
      <c r="AG66" s="65">
        <f t="shared" si="120"/>
        <v>6.3184428516424378E-4</v>
      </c>
      <c r="AH66" s="65">
        <f t="shared" si="146"/>
        <v>3.1457004370311147E-5</v>
      </c>
      <c r="AI66" s="65">
        <f t="shared" si="121"/>
        <v>7.6237571427354384E-6</v>
      </c>
      <c r="AJ66" s="65">
        <f t="shared" si="147"/>
        <v>8.3502414796508804E-8</v>
      </c>
      <c r="AK66" s="65">
        <f t="shared" si="122"/>
        <v>6.8990502489432107E-8</v>
      </c>
      <c r="AL66" s="65">
        <f t="shared" si="148"/>
        <v>1.66242465305174E-10</v>
      </c>
      <c r="AM66" s="65">
        <f t="shared" si="123"/>
        <v>4.9945866266527362E-10</v>
      </c>
      <c r="AN66" s="65">
        <f t="shared" si="149"/>
        <v>2.6477372984329513E-13</v>
      </c>
      <c r="AO66" s="68"/>
      <c r="AP66" s="62">
        <f t="shared" si="150"/>
        <v>491</v>
      </c>
      <c r="AQ66" s="63">
        <v>90</v>
      </c>
      <c r="AR66" s="64">
        <f t="shared" si="124"/>
        <v>2.5456679999999999E-2</v>
      </c>
      <c r="AS66" s="65">
        <f t="shared" si="125"/>
        <v>8.5728599999999999E-3</v>
      </c>
      <c r="AT66" s="65">
        <f t="shared" si="151"/>
        <v>8.5728599999999999E-3</v>
      </c>
      <c r="AU66" s="65">
        <f t="shared" si="152"/>
        <v>1.8860292000000001E-3</v>
      </c>
      <c r="AV66" s="65">
        <f t="shared" si="126"/>
        <v>0.99146378218010089</v>
      </c>
      <c r="AW66" s="65">
        <f t="shared" si="153"/>
        <v>8.5362178198985054E-3</v>
      </c>
      <c r="AX66" s="65">
        <f t="shared" si="153"/>
        <v>1.8842517645357064E-3</v>
      </c>
      <c r="AY66" s="65">
        <f t="shared" si="127"/>
        <v>8.4996801997005E-3</v>
      </c>
      <c r="AZ66" s="65">
        <f t="shared" si="128"/>
        <v>1.8824754461519344E-3</v>
      </c>
      <c r="BA66" s="65">
        <f t="shared" si="129"/>
        <v>3.6433284198402213E-5</v>
      </c>
      <c r="BB66" s="65">
        <f t="shared" si="130"/>
        <v>1.7752018298627881E-6</v>
      </c>
      <c r="BC66" s="65">
        <f t="shared" si="131"/>
        <v>1.0411248159103813E-7</v>
      </c>
      <c r="BD66" s="65">
        <f t="shared" si="132"/>
        <v>1.1160274956715501E-9</v>
      </c>
      <c r="BE66" s="65">
        <f t="shared" si="133"/>
        <v>2.2313543223313676E-10</v>
      </c>
      <c r="BF66" s="65">
        <f t="shared" si="134"/>
        <v>5.2621511120985427E-13</v>
      </c>
      <c r="BG66" s="65">
        <f t="shared" si="135"/>
        <v>3.8258176431483374E-13</v>
      </c>
      <c r="BH66" s="65">
        <f t="shared" si="136"/>
        <v>1.9849141304460651E-16</v>
      </c>
    </row>
    <row r="67" spans="1:60" x14ac:dyDescent="0.3">
      <c r="A67" s="38"/>
      <c r="B67" s="62">
        <f t="shared" si="137"/>
        <v>4172</v>
      </c>
      <c r="C67" s="63">
        <v>120</v>
      </c>
      <c r="D67" s="64">
        <f t="shared" si="103"/>
        <v>4.5256320000000003E-2</v>
      </c>
      <c r="E67" s="65">
        <f t="shared" si="104"/>
        <v>5.4038170303377223E-2</v>
      </c>
      <c r="F67" s="65">
        <f t="shared" si="138"/>
        <v>5.4038170303377223E-2</v>
      </c>
      <c r="G67" s="65">
        <f t="shared" si="139"/>
        <v>1.1888397466742986E-2</v>
      </c>
      <c r="H67" s="65">
        <f t="shared" si="105"/>
        <v>0.94739594342104605</v>
      </c>
      <c r="I67" s="65">
        <f t="shared" si="106"/>
        <v>5.2604056545934821E-2</v>
      </c>
      <c r="J67" s="90">
        <f t="shared" si="106"/>
        <v>1.1818009678363118E-2</v>
      </c>
      <c r="K67" s="65">
        <f t="shared" si="107"/>
        <v>5.1195543335315216E-2</v>
      </c>
      <c r="L67" s="65">
        <f t="shared" si="108"/>
        <v>1.1747900270420743E-2</v>
      </c>
      <c r="M67" s="65">
        <f t="shared" si="109"/>
        <v>1.3832567447638461E-3</v>
      </c>
      <c r="N67" s="65">
        <f t="shared" si="110"/>
        <v>6.983185390720962E-5</v>
      </c>
      <c r="O67" s="65">
        <f t="shared" si="111"/>
        <v>2.4916221182281305E-5</v>
      </c>
      <c r="P67" s="65">
        <f t="shared" si="112"/>
        <v>2.7672961169614571E-7</v>
      </c>
      <c r="Q67" s="65">
        <f t="shared" si="113"/>
        <v>3.3660675089118302E-7</v>
      </c>
      <c r="R67" s="65">
        <f t="shared" si="114"/>
        <v>8.224679036653073E-10</v>
      </c>
      <c r="S67" s="65">
        <f t="shared" si="115"/>
        <v>3.6379225859848442E-9</v>
      </c>
      <c r="T67" s="65">
        <f t="shared" si="116"/>
        <v>1.9555650684824108E-12</v>
      </c>
      <c r="U67" s="38"/>
      <c r="V67" s="62">
        <f t="shared" si="140"/>
        <v>1193</v>
      </c>
      <c r="W67" s="63">
        <v>120</v>
      </c>
      <c r="X67" s="86">
        <f t="shared" si="117"/>
        <v>4.5256320000000003E-2</v>
      </c>
      <c r="Y67" s="65">
        <f t="shared" si="141"/>
        <v>6.4351358474374259E-2</v>
      </c>
      <c r="Z67" s="65">
        <f t="shared" si="142"/>
        <v>6.4351358474374259E-2</v>
      </c>
      <c r="AA67" s="65">
        <f t="shared" si="143"/>
        <v>1.4157298864362337E-2</v>
      </c>
      <c r="AB67" s="65">
        <f t="shared" si="118"/>
        <v>0.9376754814180196</v>
      </c>
      <c r="AC67" s="65">
        <f t="shared" si="144"/>
        <v>6.2324518488639347E-2</v>
      </c>
      <c r="AD67" s="65">
        <f t="shared" si="144"/>
        <v>1.4057555562157117E-2</v>
      </c>
      <c r="AE67" s="65">
        <f t="shared" si="119"/>
        <v>6.0340691037362441E-2</v>
      </c>
      <c r="AF67" s="65">
        <f t="shared" si="145"/>
        <v>1.3958281848966345E-2</v>
      </c>
      <c r="AG67" s="65">
        <f t="shared" si="120"/>
        <v>1.9415027197683861E-3</v>
      </c>
      <c r="AH67" s="65">
        <f t="shared" si="146"/>
        <v>9.8805783884410331E-5</v>
      </c>
      <c r="AI67" s="65">
        <f t="shared" si="121"/>
        <v>4.1646112499596004E-5</v>
      </c>
      <c r="AJ67" s="65">
        <f t="shared" si="147"/>
        <v>4.662743373263976E-7</v>
      </c>
      <c r="AK67" s="65">
        <f t="shared" si="122"/>
        <v>6.6999597863140532E-7</v>
      </c>
      <c r="AL67" s="65">
        <f t="shared" si="148"/>
        <v>1.6502962865780779E-9</v>
      </c>
      <c r="AM67" s="65">
        <f t="shared" si="123"/>
        <v>8.6230302794597507E-9</v>
      </c>
      <c r="AN67" s="65">
        <f t="shared" si="149"/>
        <v>4.6727475487666394E-12</v>
      </c>
      <c r="AO67" s="38"/>
      <c r="AP67" s="62">
        <f t="shared" si="150"/>
        <v>491</v>
      </c>
      <c r="AQ67" s="63">
        <v>120</v>
      </c>
      <c r="AR67" s="64">
        <f t="shared" si="124"/>
        <v>4.5256320000000003E-2</v>
      </c>
      <c r="AS67" s="65">
        <f t="shared" si="125"/>
        <v>1.5240640000000001E-2</v>
      </c>
      <c r="AT67" s="65">
        <f t="shared" si="151"/>
        <v>1.5240640000000001E-2</v>
      </c>
      <c r="AU67" s="65">
        <f t="shared" si="152"/>
        <v>3.3529408000000007E-3</v>
      </c>
      <c r="AV67" s="65">
        <f t="shared" si="126"/>
        <v>0.98487491078636757</v>
      </c>
      <c r="AW67" s="65">
        <f t="shared" si="153"/>
        <v>1.5125089213615201E-2</v>
      </c>
      <c r="AX67" s="65">
        <f t="shared" si="153"/>
        <v>3.3473259711451243E-3</v>
      </c>
      <c r="AY67" s="65">
        <f t="shared" si="127"/>
        <v>1.5010123960327146E-2</v>
      </c>
      <c r="AZ67" s="65">
        <f t="shared" si="128"/>
        <v>3.3417174141804483E-3</v>
      </c>
      <c r="BA67" s="65">
        <f t="shared" si="129"/>
        <v>1.1438194781736018E-4</v>
      </c>
      <c r="BB67" s="65">
        <f t="shared" si="130"/>
        <v>5.6022903300380631E-6</v>
      </c>
      <c r="BC67" s="65">
        <f t="shared" si="131"/>
        <v>5.8108469639439072E-7</v>
      </c>
      <c r="BD67" s="65">
        <f t="shared" si="132"/>
        <v>6.2613826070100299E-9</v>
      </c>
      <c r="BE67" s="65">
        <f t="shared" si="133"/>
        <v>2.2140256668140522E-9</v>
      </c>
      <c r="BF67" s="65">
        <f t="shared" si="134"/>
        <v>5.2485113018635755E-12</v>
      </c>
      <c r="BG67" s="65">
        <f t="shared" si="135"/>
        <v>6.7486336277345829E-12</v>
      </c>
      <c r="BH67" s="65">
        <f t="shared" si="136"/>
        <v>3.5195895366559008E-15</v>
      </c>
    </row>
    <row r="68" spans="1:60" x14ac:dyDescent="0.3">
      <c r="A68" s="91"/>
      <c r="B68" s="62">
        <f t="shared" si="137"/>
        <v>4172</v>
      </c>
      <c r="C68" s="73">
        <v>150</v>
      </c>
      <c r="D68" s="64">
        <f t="shared" si="103"/>
        <v>7.0712999999999998E-2</v>
      </c>
      <c r="E68" s="65">
        <f t="shared" si="104"/>
        <v>8.4434641099026903E-2</v>
      </c>
      <c r="F68" s="65">
        <f t="shared" si="138"/>
        <v>8.4434641099026903E-2</v>
      </c>
      <c r="G68" s="65">
        <f t="shared" si="139"/>
        <v>1.8575621041785922E-2</v>
      </c>
      <c r="H68" s="65">
        <f t="shared" si="105"/>
        <v>0.91903172031712044</v>
      </c>
      <c r="I68" s="74">
        <f t="shared" si="106"/>
        <v>8.096827921473039E-2</v>
      </c>
      <c r="J68" s="90">
        <f t="shared" si="106"/>
        <v>1.8404157515093049E-2</v>
      </c>
      <c r="K68" s="65">
        <f t="shared" si="107"/>
        <v>7.7598113463597337E-2</v>
      </c>
      <c r="L68" s="65">
        <f t="shared" si="108"/>
        <v>1.8233752386191175E-2</v>
      </c>
      <c r="M68" s="65">
        <f t="shared" si="109"/>
        <v>3.2759844301302045E-3</v>
      </c>
      <c r="N68" s="65">
        <f t="shared" si="110"/>
        <v>1.693516372478235E-4</v>
      </c>
      <c r="O68" s="65">
        <f t="shared" si="111"/>
        <v>9.2202189868014658E-5</v>
      </c>
      <c r="P68" s="65">
        <f t="shared" si="112"/>
        <v>1.0486039454405224E-6</v>
      </c>
      <c r="Q68" s="65">
        <f t="shared" si="113"/>
        <v>1.9462647025125379E-6</v>
      </c>
      <c r="R68" s="65">
        <f t="shared" si="114"/>
        <v>4.8696173783561761E-9</v>
      </c>
      <c r="S68" s="65">
        <f t="shared" si="115"/>
        <v>3.2866432328070105E-8</v>
      </c>
      <c r="T68" s="65">
        <f t="shared" si="116"/>
        <v>1.8091233407767876E-11</v>
      </c>
      <c r="U68" s="76"/>
      <c r="V68" s="62">
        <f t="shared" si="140"/>
        <v>1193</v>
      </c>
      <c r="W68" s="73">
        <v>150</v>
      </c>
      <c r="X68" s="86">
        <f t="shared" si="117"/>
        <v>7.0712999999999998E-2</v>
      </c>
      <c r="Y68" s="65">
        <f t="shared" si="141"/>
        <v>0.10054899761620978</v>
      </c>
      <c r="Z68" s="65">
        <f t="shared" si="142"/>
        <v>0.10054899761620978</v>
      </c>
      <c r="AA68" s="65">
        <f t="shared" si="143"/>
        <v>2.2120779475566149E-2</v>
      </c>
      <c r="AB68" s="65">
        <f t="shared" si="118"/>
        <v>0.90434080078371759</v>
      </c>
      <c r="AC68" s="74">
        <f t="shared" si="144"/>
        <v>9.5659197899426854E-2</v>
      </c>
      <c r="AD68" s="65">
        <f t="shared" si="144"/>
        <v>2.1877909156356123E-2</v>
      </c>
      <c r="AE68" s="65">
        <f t="shared" si="119"/>
        <v>9.0930561022243256E-2</v>
      </c>
      <c r="AF68" s="65">
        <f t="shared" si="145"/>
        <v>2.1636823071728394E-2</v>
      </c>
      <c r="AG68" s="65">
        <f t="shared" si="120"/>
        <v>4.5714883817330777E-3</v>
      </c>
      <c r="AH68" s="65">
        <f t="shared" si="146"/>
        <v>2.3931169586077281E-4</v>
      </c>
      <c r="AI68" s="65">
        <f t="shared" si="121"/>
        <v>1.5321952479913664E-4</v>
      </c>
      <c r="AJ68" s="65">
        <f t="shared" si="147"/>
        <v>1.7645870833533041E-6</v>
      </c>
      <c r="AK68" s="65">
        <f t="shared" si="122"/>
        <v>3.8515174084462965E-6</v>
      </c>
      <c r="AL68" s="65">
        <f t="shared" si="148"/>
        <v>9.7585104340727268E-9</v>
      </c>
      <c r="AM68" s="65">
        <f t="shared" si="123"/>
        <v>7.7453242944131434E-8</v>
      </c>
      <c r="AN68" s="65">
        <f t="shared" si="149"/>
        <v>4.3173171464426817E-11</v>
      </c>
      <c r="AO68" s="76"/>
      <c r="AP68" s="62">
        <f t="shared" si="150"/>
        <v>491</v>
      </c>
      <c r="AQ68" s="63">
        <v>150</v>
      </c>
      <c r="AR68" s="64">
        <f t="shared" si="124"/>
        <v>7.0712999999999998E-2</v>
      </c>
      <c r="AS68" s="65">
        <f t="shared" si="125"/>
        <v>2.3813500000000001E-2</v>
      </c>
      <c r="AT68" s="65">
        <f t="shared" si="151"/>
        <v>2.3813500000000001E-2</v>
      </c>
      <c r="AU68" s="65">
        <f t="shared" si="152"/>
        <v>5.238969999999999E-3</v>
      </c>
      <c r="AV68" s="65">
        <f t="shared" si="126"/>
        <v>0.97646780402254152</v>
      </c>
      <c r="AW68" s="65">
        <f t="shared" si="153"/>
        <v>2.3532195977210294E-2</v>
      </c>
      <c r="AX68" s="65">
        <f t="shared" si="153"/>
        <v>5.2252705308131961E-3</v>
      </c>
      <c r="AY68" s="65">
        <f t="shared" si="127"/>
        <v>2.3253116051090792E-2</v>
      </c>
      <c r="AZ68" s="65">
        <f t="shared" si="128"/>
        <v>5.2115949644471844E-3</v>
      </c>
      <c r="BA68" s="65">
        <f t="shared" si="129"/>
        <v>2.768690395413253E-4</v>
      </c>
      <c r="BB68" s="65">
        <f t="shared" si="130"/>
        <v>1.365169483544493E-5</v>
      </c>
      <c r="BC68" s="65">
        <f t="shared" si="131"/>
        <v>2.1977402910391167E-6</v>
      </c>
      <c r="BD68" s="65">
        <f t="shared" si="132"/>
        <v>2.3840273230683641E-8</v>
      </c>
      <c r="BE68" s="65">
        <f t="shared" si="133"/>
        <v>1.3083972105165003E-8</v>
      </c>
      <c r="BF68" s="65">
        <f t="shared" si="134"/>
        <v>3.1224619061838666E-11</v>
      </c>
      <c r="BG68" s="65">
        <f t="shared" si="135"/>
        <v>6.2315033945269363E-11</v>
      </c>
      <c r="BH68" s="65">
        <f t="shared" si="136"/>
        <v>3.2716968505280173E-14</v>
      </c>
    </row>
    <row r="69" spans="1:60" x14ac:dyDescent="0.3">
      <c r="A69" s="91"/>
      <c r="B69" s="62">
        <f t="shared" si="137"/>
        <v>4172</v>
      </c>
      <c r="C69" s="63">
        <v>180</v>
      </c>
      <c r="D69" s="64">
        <f t="shared" si="103"/>
        <v>0.10182672</v>
      </c>
      <c r="E69" s="65">
        <f t="shared" si="104"/>
        <v>0.12158588318259873</v>
      </c>
      <c r="F69" s="65">
        <f t="shared" si="138"/>
        <v>0.12158588318259873</v>
      </c>
      <c r="G69" s="65">
        <f t="shared" si="139"/>
        <v>2.6748894300171716E-2</v>
      </c>
      <c r="H69" s="65">
        <f t="shared" si="105"/>
        <v>0.88551499923665611</v>
      </c>
      <c r="I69" s="65">
        <f t="shared" si="106"/>
        <v>0.1144849967198644</v>
      </c>
      <c r="J69" s="90">
        <f t="shared" si="106"/>
        <v>2.6394311229663417E-2</v>
      </c>
      <c r="K69" s="65">
        <f t="shared" si="107"/>
        <v>0.10766612325362708</v>
      </c>
      <c r="L69" s="65">
        <f t="shared" si="108"/>
        <v>2.6042875658950315E-2</v>
      </c>
      <c r="M69" s="65">
        <f t="shared" si="109"/>
        <v>6.54534034231939E-3</v>
      </c>
      <c r="N69" s="65">
        <f t="shared" si="110"/>
        <v>3.4830906413688839E-4</v>
      </c>
      <c r="O69" s="65">
        <f t="shared" si="111"/>
        <v>2.6527366208386539E-4</v>
      </c>
      <c r="P69" s="65">
        <f t="shared" si="112"/>
        <v>3.105627446796453E-6</v>
      </c>
      <c r="Q69" s="65">
        <f t="shared" si="113"/>
        <v>8.0633831223872568E-6</v>
      </c>
      <c r="R69" s="65">
        <f t="shared" si="114"/>
        <v>2.0768025077517622E-8</v>
      </c>
      <c r="S69" s="65">
        <f t="shared" si="115"/>
        <v>1.9607871167502306E-7</v>
      </c>
      <c r="T69" s="65">
        <f t="shared" si="116"/>
        <v>1.1110434152436687E-10</v>
      </c>
      <c r="U69" s="76"/>
      <c r="V69" s="62">
        <f t="shared" si="140"/>
        <v>1193</v>
      </c>
      <c r="W69" s="63">
        <v>180</v>
      </c>
      <c r="X69" s="86">
        <f t="shared" si="117"/>
        <v>0.10182672</v>
      </c>
      <c r="Y69" s="65">
        <f t="shared" si="141"/>
        <v>0.14479055656734208</v>
      </c>
      <c r="Z69" s="65">
        <f t="shared" si="142"/>
        <v>0.14479055656734208</v>
      </c>
      <c r="AA69" s="65">
        <f t="shared" si="143"/>
        <v>3.1853922444815247E-2</v>
      </c>
      <c r="AB69" s="65">
        <f t="shared" si="118"/>
        <v>0.8652034853232331</v>
      </c>
      <c r="AC69" s="65">
        <f t="shared" si="144"/>
        <v>0.13479650337150803</v>
      </c>
      <c r="AD69" s="65">
        <f t="shared" si="144"/>
        <v>3.1351930511884396E-2</v>
      </c>
      <c r="AE69" s="65">
        <f t="shared" si="119"/>
        <v>0.12527329418395511</v>
      </c>
      <c r="AF69" s="65">
        <f t="shared" si="145"/>
        <v>3.0855240481749473E-2</v>
      </c>
      <c r="AG69" s="65">
        <f t="shared" si="120"/>
        <v>9.0691949939596169E-3</v>
      </c>
      <c r="AH69" s="65">
        <f t="shared" si="146"/>
        <v>4.9143021866088579E-4</v>
      </c>
      <c r="AI69" s="65">
        <f t="shared" si="121"/>
        <v>4.3771126359772185E-4</v>
      </c>
      <c r="AJ69" s="65">
        <f t="shared" si="147"/>
        <v>5.2179933574208172E-6</v>
      </c>
      <c r="AK69" s="65">
        <f t="shared" si="122"/>
        <v>1.5844114368027181E-5</v>
      </c>
      <c r="AL69" s="65">
        <f t="shared" si="148"/>
        <v>4.1553388931210955E-8</v>
      </c>
      <c r="AM69" s="65">
        <f t="shared" si="123"/>
        <v>4.5881562753265534E-7</v>
      </c>
      <c r="AN69" s="65">
        <f t="shared" si="149"/>
        <v>2.6472768566680761E-10</v>
      </c>
      <c r="AO69" s="76"/>
      <c r="AP69" s="62">
        <f t="shared" si="150"/>
        <v>491</v>
      </c>
      <c r="AQ69" s="63">
        <v>180</v>
      </c>
      <c r="AR69" s="64">
        <f t="shared" si="124"/>
        <v>0.10182672</v>
      </c>
      <c r="AS69" s="65">
        <f t="shared" si="125"/>
        <v>3.4291439999999999E-2</v>
      </c>
      <c r="AT69" s="65">
        <f t="shared" si="151"/>
        <v>3.4291439999999999E-2</v>
      </c>
      <c r="AU69" s="65">
        <f t="shared" si="152"/>
        <v>7.5441168000000003E-3</v>
      </c>
      <c r="AV69" s="65">
        <f t="shared" si="126"/>
        <v>0.96628984808318175</v>
      </c>
      <c r="AW69" s="65">
        <f t="shared" si="153"/>
        <v>3.3710151914625293E-2</v>
      </c>
      <c r="AX69" s="65">
        <f t="shared" si="153"/>
        <v>7.5157313766896355E-3</v>
      </c>
      <c r="AY69" s="65">
        <f t="shared" si="127"/>
        <v>3.3135470348153541E-2</v>
      </c>
      <c r="AZ69" s="65">
        <f t="shared" si="128"/>
        <v>7.4874172446568266E-3</v>
      </c>
      <c r="BA69" s="65">
        <f t="shared" si="129"/>
        <v>5.6813149665774308E-4</v>
      </c>
      <c r="BB69" s="65">
        <f t="shared" si="130"/>
        <v>2.8242975112012642E-5</v>
      </c>
      <c r="BC69" s="65">
        <f t="shared" si="131"/>
        <v>6.4940157099164E-6</v>
      </c>
      <c r="BD69" s="65">
        <f t="shared" si="132"/>
        <v>7.1022767674838827E-8</v>
      </c>
      <c r="BE69" s="65">
        <f t="shared" si="133"/>
        <v>5.5672287518913903E-8</v>
      </c>
      <c r="BF69" s="65">
        <f t="shared" si="134"/>
        <v>1.3395101369956212E-10</v>
      </c>
      <c r="BG69" s="65">
        <f t="shared" si="135"/>
        <v>3.8181658142351693E-10</v>
      </c>
      <c r="BH69" s="65">
        <f t="shared" si="136"/>
        <v>2.0210841856557935E-13</v>
      </c>
    </row>
    <row r="70" spans="1:60" x14ac:dyDescent="0.3">
      <c r="A70" s="91"/>
      <c r="B70" s="62">
        <f t="shared" si="137"/>
        <v>4172</v>
      </c>
      <c r="C70" s="63">
        <v>210</v>
      </c>
      <c r="D70" s="64">
        <f t="shared" si="103"/>
        <v>0.13859748</v>
      </c>
      <c r="E70" s="65">
        <f t="shared" si="104"/>
        <v>0.16549189655409272</v>
      </c>
      <c r="F70" s="65">
        <f t="shared" si="138"/>
        <v>0.16549189655409272</v>
      </c>
      <c r="G70" s="65">
        <f t="shared" si="139"/>
        <v>3.6408217241900381E-2</v>
      </c>
      <c r="H70" s="65">
        <f t="shared" si="105"/>
        <v>0.84747673065894213</v>
      </c>
      <c r="I70" s="65">
        <f t="shared" si="106"/>
        <v>0.15252324457738978</v>
      </c>
      <c r="J70" s="90">
        <f t="shared" si="106"/>
        <v>3.5753408950244425E-2</v>
      </c>
      <c r="K70" s="65">
        <f t="shared" si="107"/>
        <v>0.14025053144221034</v>
      </c>
      <c r="L70" s="65">
        <f t="shared" si="108"/>
        <v>3.5106499361587218E-2</v>
      </c>
      <c r="M70" s="65">
        <f t="shared" si="109"/>
        <v>1.1605163220545401E-2</v>
      </c>
      <c r="N70" s="65">
        <f t="shared" si="110"/>
        <v>6.3908252767965216E-4</v>
      </c>
      <c r="O70" s="65">
        <f t="shared" si="111"/>
        <v>6.4018682372928698E-4</v>
      </c>
      <c r="P70" s="65">
        <f t="shared" si="112"/>
        <v>7.7559518344211968E-6</v>
      </c>
      <c r="Q70" s="65">
        <f t="shared" si="113"/>
        <v>2.6486432901975084E-5</v>
      </c>
      <c r="R70" s="65">
        <f t="shared" si="114"/>
        <v>7.0595094826330683E-8</v>
      </c>
      <c r="S70" s="65">
        <f t="shared" si="115"/>
        <v>8.7665800278011578E-7</v>
      </c>
      <c r="T70" s="65">
        <f t="shared" si="116"/>
        <v>5.14048309729921E-10</v>
      </c>
      <c r="U70" s="76"/>
      <c r="V70" s="62">
        <f t="shared" si="140"/>
        <v>1193</v>
      </c>
      <c r="W70" s="63">
        <v>210</v>
      </c>
      <c r="X70" s="86">
        <f t="shared" si="117"/>
        <v>0.13859748</v>
      </c>
      <c r="Y70" s="65">
        <f t="shared" si="141"/>
        <v>0.19707603532777115</v>
      </c>
      <c r="Z70" s="65">
        <f t="shared" si="142"/>
        <v>0.19707603532777115</v>
      </c>
      <c r="AA70" s="65">
        <f t="shared" si="143"/>
        <v>4.3356727772109638E-2</v>
      </c>
      <c r="AB70" s="65">
        <f t="shared" si="118"/>
        <v>0.82112819618743516</v>
      </c>
      <c r="AC70" s="65">
        <f t="shared" si="144"/>
        <v>0.17887173506792844</v>
      </c>
      <c r="AD70" s="65">
        <f t="shared" si="144"/>
        <v>4.2430262578018858E-2</v>
      </c>
      <c r="AE70" s="65">
        <f t="shared" si="119"/>
        <v>0.16182468940046396</v>
      </c>
      <c r="AF70" s="65">
        <f t="shared" si="145"/>
        <v>4.1517090427829924E-2</v>
      </c>
      <c r="AG70" s="65">
        <f t="shared" si="120"/>
        <v>1.5945884102595714E-2</v>
      </c>
      <c r="AH70" s="65">
        <f t="shared" si="146"/>
        <v>9.0002259378474045E-4</v>
      </c>
      <c r="AI70" s="65">
        <f t="shared" si="121"/>
        <v>1.0475172062452325E-3</v>
      </c>
      <c r="AJ70" s="65">
        <f t="shared" si="147"/>
        <v>1.3007344862491002E-5</v>
      </c>
      <c r="AK70" s="65">
        <f t="shared" si="122"/>
        <v>5.1610134486108396E-5</v>
      </c>
      <c r="AL70" s="65">
        <f t="shared" si="148"/>
        <v>1.409889775602428E-7</v>
      </c>
      <c r="AM70" s="65">
        <f t="shared" si="123"/>
        <v>2.0342241374510638E-6</v>
      </c>
      <c r="AN70" s="65">
        <f t="shared" si="149"/>
        <v>1.2225641437895044E-9</v>
      </c>
      <c r="AO70" s="76"/>
      <c r="AP70" s="62">
        <f t="shared" si="150"/>
        <v>491</v>
      </c>
      <c r="AQ70" s="63">
        <v>210</v>
      </c>
      <c r="AR70" s="64">
        <f t="shared" si="124"/>
        <v>0.13859748</v>
      </c>
      <c r="AS70" s="65">
        <f t="shared" si="125"/>
        <v>4.6674460000000001E-2</v>
      </c>
      <c r="AT70" s="65">
        <f t="shared" si="151"/>
        <v>4.6674460000000001E-2</v>
      </c>
      <c r="AU70" s="65">
        <f t="shared" si="152"/>
        <v>1.0268381199999996E-2</v>
      </c>
      <c r="AV70" s="65">
        <f t="shared" si="126"/>
        <v>0.95439804176259124</v>
      </c>
      <c r="AW70" s="65">
        <f t="shared" si="153"/>
        <v>4.5601958223612071E-2</v>
      </c>
      <c r="AX70" s="65">
        <f t="shared" si="153"/>
        <v>1.0215841360574667E-2</v>
      </c>
      <c r="AY70" s="65">
        <f t="shared" si="127"/>
        <v>4.4546013224326393E-2</v>
      </c>
      <c r="AZ70" s="65">
        <f t="shared" si="128"/>
        <v>1.0163481046630871E-2</v>
      </c>
      <c r="BA70" s="65">
        <f t="shared" si="129"/>
        <v>1.0395805561991467E-3</v>
      </c>
      <c r="BB70" s="65">
        <f t="shared" si="130"/>
        <v>5.2181248852890362E-5</v>
      </c>
      <c r="BC70" s="65">
        <f t="shared" si="131"/>
        <v>1.6173953695698273E-5</v>
      </c>
      <c r="BD70" s="65">
        <f t="shared" si="132"/>
        <v>1.7860565157118027E-7</v>
      </c>
      <c r="BE70" s="65">
        <f t="shared" si="133"/>
        <v>1.8872763870293031E-7</v>
      </c>
      <c r="BF70" s="65">
        <f t="shared" si="134"/>
        <v>4.5849772870181431E-10</v>
      </c>
      <c r="BG70" s="65">
        <f t="shared" si="135"/>
        <v>1.7617521247068744E-9</v>
      </c>
      <c r="BH70" s="65">
        <f t="shared" si="136"/>
        <v>9.4160589152888164E-13</v>
      </c>
    </row>
    <row r="71" spans="1:60" x14ac:dyDescent="0.3">
      <c r="A71" s="91"/>
      <c r="B71" s="62">
        <f t="shared" si="137"/>
        <v>4172</v>
      </c>
      <c r="C71" s="63">
        <v>240</v>
      </c>
      <c r="D71" s="64">
        <f t="shared" si="103"/>
        <v>0.18102528000000001</v>
      </c>
      <c r="E71" s="65">
        <f t="shared" si="104"/>
        <v>0.21615268121350889</v>
      </c>
      <c r="F71" s="65">
        <f t="shared" si="138"/>
        <v>0.21615268121350889</v>
      </c>
      <c r="G71" s="65">
        <f t="shared" si="139"/>
        <v>4.7553589866971946E-2</v>
      </c>
      <c r="H71" s="65">
        <f t="shared" si="105"/>
        <v>0.8056122906208153</v>
      </c>
      <c r="I71" s="65">
        <f t="shared" si="106"/>
        <v>0.19438759163892524</v>
      </c>
      <c r="J71" s="90">
        <f t="shared" si="106"/>
        <v>4.6440629341052302E-2</v>
      </c>
      <c r="K71" s="65">
        <f t="shared" si="107"/>
        <v>0.17413525663624577</v>
      </c>
      <c r="L71" s="65">
        <f t="shared" si="108"/>
        <v>4.5345171225390224E-2</v>
      </c>
      <c r="M71" s="65">
        <f t="shared" si="109"/>
        <v>1.8819901307863495E-2</v>
      </c>
      <c r="N71" s="65">
        <f t="shared" si="110"/>
        <v>1.0781628374499123E-3</v>
      </c>
      <c r="O71" s="65">
        <f t="shared" si="111"/>
        <v>1.3559907092894387E-3</v>
      </c>
      <c r="P71" s="65">
        <f t="shared" si="112"/>
        <v>1.7090171127301292E-5</v>
      </c>
      <c r="Q71" s="65">
        <f t="shared" si="113"/>
        <v>7.3275256878379969E-5</v>
      </c>
      <c r="R71" s="65">
        <f t="shared" si="114"/>
        <v>2.0317474713601282E-7</v>
      </c>
      <c r="S71" s="65">
        <f t="shared" si="115"/>
        <v>3.1677286481740881E-6</v>
      </c>
      <c r="T71" s="65">
        <f t="shared" si="116"/>
        <v>1.9323377193263372E-9</v>
      </c>
      <c r="U71" s="76"/>
      <c r="V71" s="62">
        <f t="shared" si="140"/>
        <v>1193</v>
      </c>
      <c r="W71" s="63">
        <v>240</v>
      </c>
      <c r="X71" s="86">
        <f t="shared" si="117"/>
        <v>0.18102528000000001</v>
      </c>
      <c r="Y71" s="65">
        <f t="shared" si="141"/>
        <v>0.25740543389749704</v>
      </c>
      <c r="Z71" s="65">
        <f t="shared" si="142"/>
        <v>0.25740543389749704</v>
      </c>
      <c r="AA71" s="65">
        <f t="shared" si="143"/>
        <v>5.6629195457449349E-2</v>
      </c>
      <c r="AB71" s="65">
        <f t="shared" si="118"/>
        <v>0.77305472762958893</v>
      </c>
      <c r="AC71" s="65">
        <f t="shared" si="144"/>
        <v>0.22694494819712555</v>
      </c>
      <c r="AD71" s="65">
        <f t="shared" si="144"/>
        <v>5.5055605871069092E-2</v>
      </c>
      <c r="AE71" s="65">
        <f t="shared" si="119"/>
        <v>0.19898848759200574</v>
      </c>
      <c r="AF71" s="65">
        <f t="shared" si="145"/>
        <v>5.3511440789077241E-2</v>
      </c>
      <c r="AG71" s="65">
        <f t="shared" si="120"/>
        <v>2.5610358994613468E-2</v>
      </c>
      <c r="AH71" s="65">
        <f t="shared" si="146"/>
        <v>1.5151549198271913E-3</v>
      </c>
      <c r="AI71" s="65">
        <f t="shared" si="121"/>
        <v>2.1974151897597152E-3</v>
      </c>
      <c r="AJ71" s="65">
        <f t="shared" si="147"/>
        <v>2.8600668034403339E-5</v>
      </c>
      <c r="AK71" s="65">
        <f t="shared" si="122"/>
        <v>1.4140665259326259E-4</v>
      </c>
      <c r="AL71" s="65">
        <f t="shared" si="148"/>
        <v>4.0490820508346259E-7</v>
      </c>
      <c r="AM71" s="65">
        <f t="shared" si="123"/>
        <v>7.2797681533522769E-6</v>
      </c>
      <c r="AN71" s="65">
        <f t="shared" si="149"/>
        <v>4.585925177599278E-9</v>
      </c>
      <c r="AO71" s="76"/>
      <c r="AP71" s="62">
        <f t="shared" si="150"/>
        <v>491</v>
      </c>
      <c r="AQ71" s="63">
        <v>240</v>
      </c>
      <c r="AR71" s="64">
        <f t="shared" si="124"/>
        <v>0.18102528000000001</v>
      </c>
      <c r="AS71" s="65">
        <f t="shared" si="125"/>
        <v>6.0962560000000006E-2</v>
      </c>
      <c r="AT71" s="65">
        <f t="shared" si="151"/>
        <v>6.0962560000000006E-2</v>
      </c>
      <c r="AU71" s="65">
        <f t="shared" si="152"/>
        <v>1.3411763200000003E-2</v>
      </c>
      <c r="AV71" s="65">
        <f t="shared" si="126"/>
        <v>0.94085846485751634</v>
      </c>
      <c r="AW71" s="65">
        <f t="shared" si="153"/>
        <v>5.9141535074818417E-2</v>
      </c>
      <c r="AX71" s="65">
        <f t="shared" si="153"/>
        <v>1.3322226233762943E-2</v>
      </c>
      <c r="AY71" s="65">
        <f t="shared" si="127"/>
        <v>5.7357140615384238E-2</v>
      </c>
      <c r="AZ71" s="65">
        <f t="shared" si="128"/>
        <v>1.323308865645584E-2</v>
      </c>
      <c r="BA71" s="65">
        <f t="shared" si="129"/>
        <v>1.7483190630968994E-3</v>
      </c>
      <c r="BB71" s="65">
        <f t="shared" si="130"/>
        <v>8.8739525732495954E-5</v>
      </c>
      <c r="BC71" s="65">
        <f t="shared" si="131"/>
        <v>3.5527335261062842E-5</v>
      </c>
      <c r="BD71" s="65">
        <f t="shared" si="132"/>
        <v>3.9671783520151417E-7</v>
      </c>
      <c r="BE71" s="65">
        <f t="shared" si="133"/>
        <v>5.4145932687316484E-7</v>
      </c>
      <c r="BF71" s="65">
        <f t="shared" si="134"/>
        <v>1.3301714157348335E-9</v>
      </c>
      <c r="BG71" s="65">
        <f t="shared" si="135"/>
        <v>6.6017493404129855E-9</v>
      </c>
      <c r="BH71" s="65">
        <f t="shared" si="136"/>
        <v>3.567988808648869E-12</v>
      </c>
    </row>
    <row r="72" spans="1:60" x14ac:dyDescent="0.3">
      <c r="A72" s="91"/>
      <c r="B72" s="62">
        <f t="shared" si="137"/>
        <v>4172</v>
      </c>
      <c r="C72" s="63">
        <v>270</v>
      </c>
      <c r="D72" s="64">
        <f t="shared" si="103"/>
        <v>0.22911012</v>
      </c>
      <c r="E72" s="65">
        <f t="shared" si="104"/>
        <v>0.27356823716084716</v>
      </c>
      <c r="F72" s="65">
        <f t="shared" si="138"/>
        <v>0.27356823716084716</v>
      </c>
      <c r="G72" s="65">
        <f t="shared" si="139"/>
        <v>6.0185012175386354E-2</v>
      </c>
      <c r="H72" s="65">
        <f t="shared" si="105"/>
        <v>0.76066042927682576</v>
      </c>
      <c r="I72" s="65">
        <f t="shared" si="106"/>
        <v>0.239339109960298</v>
      </c>
      <c r="J72" s="90">
        <f t="shared" si="106"/>
        <v>5.8409688141047397E-2</v>
      </c>
      <c r="K72" s="65">
        <f t="shared" si="107"/>
        <v>0.20809253271527448</v>
      </c>
      <c r="L72" s="65">
        <f t="shared" si="108"/>
        <v>5.6669624379683835E-2</v>
      </c>
      <c r="M72" s="65">
        <f t="shared" si="109"/>
        <v>2.8463753670626774E-2</v>
      </c>
      <c r="N72" s="65">
        <f t="shared" si="110"/>
        <v>1.7053310166329214E-3</v>
      </c>
      <c r="O72" s="65">
        <f t="shared" si="111"/>
        <v>2.5955929715513197E-3</v>
      </c>
      <c r="P72" s="65">
        <f t="shared" si="112"/>
        <v>3.4211789333038786E-5</v>
      </c>
      <c r="Q72" s="65">
        <f t="shared" si="113"/>
        <v>1.7751794840359486E-4</v>
      </c>
      <c r="R72" s="65">
        <f t="shared" si="114"/>
        <v>5.1475923938767309E-7</v>
      </c>
      <c r="S72" s="65">
        <f t="shared" si="115"/>
        <v>9.7126544418363311E-6</v>
      </c>
      <c r="T72" s="65">
        <f t="shared" si="116"/>
        <v>6.1961582179879437E-9</v>
      </c>
      <c r="U72" s="76"/>
      <c r="V72" s="62">
        <f t="shared" si="140"/>
        <v>1193</v>
      </c>
      <c r="W72" s="63">
        <v>270</v>
      </c>
      <c r="X72" s="86">
        <f t="shared" si="117"/>
        <v>0.22911012</v>
      </c>
      <c r="Y72" s="65">
        <f t="shared" si="141"/>
        <v>0.32577875227651965</v>
      </c>
      <c r="Z72" s="65">
        <f t="shared" si="142"/>
        <v>0.32577875227651965</v>
      </c>
      <c r="AA72" s="65">
        <f t="shared" si="143"/>
        <v>7.1671325500834326E-2</v>
      </c>
      <c r="AB72" s="65">
        <f t="shared" si="118"/>
        <v>0.72196490285391668</v>
      </c>
      <c r="AC72" s="65">
        <f t="shared" si="144"/>
        <v>0.27803384027418254</v>
      </c>
      <c r="AD72" s="65">
        <f t="shared" si="144"/>
        <v>6.9163211968909594E-2</v>
      </c>
      <c r="AE72" s="65">
        <f t="shared" si="119"/>
        <v>0.2352008252391877</v>
      </c>
      <c r="AF72" s="65">
        <f t="shared" si="145"/>
        <v>6.6714306410438531E-2</v>
      </c>
      <c r="AG72" s="65">
        <f t="shared" si="120"/>
        <v>3.8311715690415159E-2</v>
      </c>
      <c r="AH72" s="65">
        <f t="shared" si="146"/>
        <v>2.3907513851524689E-3</v>
      </c>
      <c r="AI72" s="65">
        <f t="shared" si="121"/>
        <v>4.160380978398737E-3</v>
      </c>
      <c r="AJ72" s="65">
        <f t="shared" si="147"/>
        <v>5.7116106905611039E-5</v>
      </c>
      <c r="AK72" s="65">
        <f t="shared" si="122"/>
        <v>3.3884093103442661E-4</v>
      </c>
      <c r="AL72" s="65">
        <f t="shared" si="148"/>
        <v>1.0233967723431252E-6</v>
      </c>
      <c r="AM72" s="65">
        <f t="shared" si="123"/>
        <v>2.207743514652195E-5</v>
      </c>
      <c r="AN72" s="65">
        <f t="shared" si="149"/>
        <v>1.4669640637421472E-8</v>
      </c>
      <c r="AO72" s="76"/>
      <c r="AP72" s="62">
        <f t="shared" si="150"/>
        <v>491</v>
      </c>
      <c r="AQ72" s="63">
        <v>270</v>
      </c>
      <c r="AR72" s="64">
        <f t="shared" si="124"/>
        <v>0.22911012</v>
      </c>
      <c r="AS72" s="65">
        <f t="shared" si="125"/>
        <v>7.715574E-2</v>
      </c>
      <c r="AT72" s="65">
        <f t="shared" si="151"/>
        <v>7.715574E-2</v>
      </c>
      <c r="AU72" s="65">
        <f t="shared" si="152"/>
        <v>1.6974262800000001E-2</v>
      </c>
      <c r="AV72" s="65">
        <f t="shared" si="126"/>
        <v>0.92574566674881675</v>
      </c>
      <c r="AW72" s="65">
        <f t="shared" si="153"/>
        <v>7.4254332976915083E-2</v>
      </c>
      <c r="AX72" s="65">
        <f t="shared" si="153"/>
        <v>1.6831011673795755E-2</v>
      </c>
      <c r="AY72" s="65">
        <f t="shared" si="127"/>
        <v>7.142659196979835E-2</v>
      </c>
      <c r="AZ72" s="65">
        <f t="shared" si="128"/>
        <v>1.6688568784658568E-2</v>
      </c>
      <c r="BA72" s="65">
        <f t="shared" si="129"/>
        <v>2.7554857795539247E-3</v>
      </c>
      <c r="BB72" s="65">
        <f t="shared" si="130"/>
        <v>1.4163807615333557E-4</v>
      </c>
      <c r="BC72" s="65">
        <f t="shared" si="131"/>
        <v>7.0867181460319967E-5</v>
      </c>
      <c r="BD72" s="65">
        <f t="shared" si="132"/>
        <v>8.014006423710438E-7</v>
      </c>
      <c r="BE72" s="65">
        <f t="shared" si="133"/>
        <v>1.3669524568213169E-6</v>
      </c>
      <c r="BF72" s="65">
        <f t="shared" si="134"/>
        <v>3.4007962779237283E-9</v>
      </c>
      <c r="BG72" s="65">
        <f t="shared" si="135"/>
        <v>2.1093645670173351E-8</v>
      </c>
      <c r="BH72" s="65">
        <f t="shared" si="136"/>
        <v>1.154520195014784E-11</v>
      </c>
    </row>
    <row r="73" spans="1:60" x14ac:dyDescent="0.3">
      <c r="A73" s="76"/>
      <c r="B73" s="62">
        <f t="shared" si="137"/>
        <v>4172</v>
      </c>
      <c r="C73" s="63">
        <v>300</v>
      </c>
      <c r="D73" s="64">
        <f t="shared" si="103"/>
        <v>0.28285199999999999</v>
      </c>
      <c r="E73" s="65">
        <f t="shared" si="104"/>
        <v>0.33773856439610761</v>
      </c>
      <c r="F73" s="65">
        <f t="shared" si="138"/>
        <v>0.33773856439610761</v>
      </c>
      <c r="G73" s="65">
        <f t="shared" si="139"/>
        <v>7.430248416714369E-2</v>
      </c>
      <c r="H73" s="65">
        <f t="shared" si="105"/>
        <v>0.71338176691413213</v>
      </c>
      <c r="I73" s="65">
        <f t="shared" si="106"/>
        <v>0.28661668849517269</v>
      </c>
      <c r="J73" s="90">
        <f t="shared" si="106"/>
        <v>7.1609171942369251E-2</v>
      </c>
      <c r="K73" s="65">
        <f t="shared" si="107"/>
        <v>0.24093653382393765</v>
      </c>
      <c r="L73" s="65">
        <f t="shared" si="108"/>
        <v>6.8981744786378696E-2</v>
      </c>
      <c r="M73" s="65">
        <f t="shared" si="109"/>
        <v>4.0686779522135466E-2</v>
      </c>
      <c r="N73" s="65">
        <f t="shared" si="110"/>
        <v>2.562757499905925E-3</v>
      </c>
      <c r="O73" s="65">
        <f t="shared" si="111"/>
        <v>4.5804981685689935E-3</v>
      </c>
      <c r="P73" s="65">
        <f t="shared" si="112"/>
        <v>6.3473082853662916E-5</v>
      </c>
      <c r="Q73" s="65">
        <f t="shared" si="113"/>
        <v>3.8675271891787307E-4</v>
      </c>
      <c r="R73" s="65">
        <f t="shared" si="114"/>
        <v>1.1790519334435218E-6</v>
      </c>
      <c r="S73" s="65">
        <f t="shared" si="115"/>
        <v>2.6124261612722749E-5</v>
      </c>
      <c r="T73" s="65">
        <f t="shared" si="116"/>
        <v>1.752129752338549E-8</v>
      </c>
      <c r="U73" s="76"/>
      <c r="V73" s="62">
        <f t="shared" si="140"/>
        <v>1193</v>
      </c>
      <c r="W73" s="63">
        <v>300</v>
      </c>
      <c r="X73" s="86">
        <f t="shared" si="117"/>
        <v>0.28285199999999999</v>
      </c>
      <c r="Y73" s="65">
        <f t="shared" si="141"/>
        <v>0.40219599046483911</v>
      </c>
      <c r="Z73" s="65">
        <f t="shared" si="142"/>
        <v>0.40219599046483911</v>
      </c>
      <c r="AA73" s="65">
        <f t="shared" si="143"/>
        <v>8.8483117902264596E-2</v>
      </c>
      <c r="AB73" s="65">
        <f t="shared" si="118"/>
        <v>0.66884964469072306</v>
      </c>
      <c r="AC73" s="65">
        <f t="shared" si="144"/>
        <v>0.33114618541770763</v>
      </c>
      <c r="AD73" s="65">
        <f t="shared" si="144"/>
        <v>8.4681436279095773E-2</v>
      </c>
      <c r="AE73" s="65">
        <f t="shared" si="119"/>
        <v>0.2690086453184411</v>
      </c>
      <c r="AF73" s="65">
        <f t="shared" si="145"/>
        <v>8.0990240337174557E-2</v>
      </c>
      <c r="AG73" s="65">
        <f t="shared" si="120"/>
        <v>5.4097099273727509E-2</v>
      </c>
      <c r="AH73" s="65">
        <f t="shared" si="146"/>
        <v>3.5831344923434815E-3</v>
      </c>
      <c r="AI73" s="65">
        <f t="shared" si="121"/>
        <v>7.2525454745571878E-3</v>
      </c>
      <c r="AJ73" s="65">
        <f t="shared" si="147"/>
        <v>1.0568230391523309E-4</v>
      </c>
      <c r="AK73" s="65">
        <f t="shared" si="122"/>
        <v>7.2923617763270387E-4</v>
      </c>
      <c r="AL73" s="65">
        <f t="shared" si="148"/>
        <v>2.3377749393786323E-6</v>
      </c>
      <c r="AM73" s="65">
        <f t="shared" si="123"/>
        <v>5.8659173349155738E-5</v>
      </c>
      <c r="AN73" s="65">
        <f t="shared" si="149"/>
        <v>4.1370723117999804E-8</v>
      </c>
      <c r="AO73" s="76"/>
      <c r="AP73" s="62">
        <f t="shared" si="150"/>
        <v>491</v>
      </c>
      <c r="AQ73" s="73">
        <v>300</v>
      </c>
      <c r="AR73" s="64">
        <f t="shared" si="124"/>
        <v>0.28285199999999999</v>
      </c>
      <c r="AS73" s="65">
        <f t="shared" si="125"/>
        <v>9.5254000000000005E-2</v>
      </c>
      <c r="AT73" s="65">
        <f t="shared" si="151"/>
        <v>9.5254000000000005E-2</v>
      </c>
      <c r="AU73" s="65">
        <f t="shared" si="152"/>
        <v>2.0955879999999996E-2</v>
      </c>
      <c r="AV73" s="65">
        <f t="shared" si="126"/>
        <v>0.90914198307494509</v>
      </c>
      <c r="AW73" s="74">
        <f t="shared" si="153"/>
        <v>9.0858015968877201E-2</v>
      </c>
      <c r="AX73" s="65">
        <f t="shared" si="153"/>
        <v>2.0737831336632769E-2</v>
      </c>
      <c r="AY73" s="65">
        <f t="shared" si="127"/>
        <v>8.6599410455820827E-2</v>
      </c>
      <c r="AZ73" s="65">
        <f t="shared" si="128"/>
        <v>2.0521300495046857E-2</v>
      </c>
      <c r="BA73" s="65">
        <f t="shared" si="129"/>
        <v>4.1244701217793781E-3</v>
      </c>
      <c r="BB73" s="65">
        <f t="shared" si="130"/>
        <v>2.1502095530907125E-4</v>
      </c>
      <c r="BC73" s="65">
        <f t="shared" si="131"/>
        <v>1.3095742565999097E-4</v>
      </c>
      <c r="BD73" s="65">
        <f t="shared" si="132"/>
        <v>1.5019844456474199E-6</v>
      </c>
      <c r="BE73" s="65">
        <f t="shared" si="133"/>
        <v>3.1185546559541949E-6</v>
      </c>
      <c r="BF73" s="65">
        <f t="shared" si="134"/>
        <v>7.8688514512134614E-9</v>
      </c>
      <c r="BG73" s="65">
        <f t="shared" si="135"/>
        <v>5.9410961039652192E-8</v>
      </c>
      <c r="BH73" s="65">
        <f t="shared" si="136"/>
        <v>3.2979741349891025E-11</v>
      </c>
    </row>
    <row r="74" spans="1:60" x14ac:dyDescent="0.3">
      <c r="A74" s="38"/>
      <c r="B74" s="62">
        <f t="shared" si="137"/>
        <v>4172</v>
      </c>
      <c r="C74" s="63">
        <v>330</v>
      </c>
      <c r="D74" s="64">
        <f t="shared" si="103"/>
        <v>0.34225091999999996</v>
      </c>
      <c r="E74" s="65">
        <f t="shared" si="104"/>
        <v>0.40866366291929018</v>
      </c>
      <c r="F74" s="65">
        <f t="shared" si="138"/>
        <v>0.40866366291929018</v>
      </c>
      <c r="G74" s="65">
        <f t="shared" si="139"/>
        <v>8.9906005842243841E-2</v>
      </c>
      <c r="H74" s="65">
        <f t="shared" si="105"/>
        <v>0.66453770341049012</v>
      </c>
      <c r="I74" s="65">
        <f t="shared" si="106"/>
        <v>0.33545773301780984</v>
      </c>
      <c r="J74" s="90">
        <f t="shared" si="106"/>
        <v>8.5982905820253072E-2</v>
      </c>
      <c r="K74" s="65">
        <f t="shared" si="107"/>
        <v>0.27157241202370375</v>
      </c>
      <c r="L74" s="65">
        <f t="shared" si="108"/>
        <v>8.2175626148176348E-2</v>
      </c>
      <c r="M74" s="65">
        <f t="shared" si="109"/>
        <v>5.549088832271673E-2</v>
      </c>
      <c r="N74" s="65">
        <f t="shared" si="110"/>
        <v>3.6940411622839943E-3</v>
      </c>
      <c r="O74" s="65">
        <f t="shared" si="111"/>
        <v>7.5590365602022291E-3</v>
      </c>
      <c r="P74" s="65">
        <f t="shared" si="112"/>
        <v>1.1070549543926469E-4</v>
      </c>
      <c r="Q74" s="65">
        <f t="shared" si="113"/>
        <v>7.7227589220826853E-4</v>
      </c>
      <c r="R74" s="65">
        <f t="shared" si="114"/>
        <v>2.4882722299327577E-6</v>
      </c>
      <c r="S74" s="65">
        <f t="shared" si="115"/>
        <v>6.3120218978818794E-5</v>
      </c>
      <c r="T74" s="65">
        <f t="shared" si="116"/>
        <v>4.474212352828553E-8</v>
      </c>
      <c r="U74" s="76"/>
      <c r="V74" s="62">
        <f t="shared" si="140"/>
        <v>1193</v>
      </c>
      <c r="W74" s="73">
        <v>330</v>
      </c>
      <c r="X74" s="86">
        <f t="shared" si="117"/>
        <v>0.34225091999999996</v>
      </c>
      <c r="Y74" s="65">
        <f t="shared" si="141"/>
        <v>0.48665714846245522</v>
      </c>
      <c r="Z74" s="65">
        <f t="shared" si="142"/>
        <v>0.48665714846245522</v>
      </c>
      <c r="AA74" s="65">
        <f t="shared" si="143"/>
        <v>0.10706457266174013</v>
      </c>
      <c r="AB74" s="65">
        <f t="shared" si="118"/>
        <v>0.61467774003020659</v>
      </c>
      <c r="AC74" s="65">
        <f t="shared" si="144"/>
        <v>0.38531007976279558</v>
      </c>
      <c r="AD74" s="74">
        <f t="shared" si="144"/>
        <v>0.10153234342217592</v>
      </c>
      <c r="AE74" s="65">
        <f t="shared" si="119"/>
        <v>0.29913731618644668</v>
      </c>
      <c r="AF74" s="65">
        <f t="shared" si="145"/>
        <v>9.6194055497551403E-2</v>
      </c>
      <c r="AG74" s="65">
        <f t="shared" si="120"/>
        <v>7.2788656647003999E-2</v>
      </c>
      <c r="AH74" s="65">
        <f t="shared" si="146"/>
        <v>5.1494877222225269E-3</v>
      </c>
      <c r="AI74" s="65">
        <f t="shared" si="121"/>
        <v>1.1807706694747901E-2</v>
      </c>
      <c r="AJ74" s="65">
        <f t="shared" si="147"/>
        <v>1.8377590080221085E-4</v>
      </c>
      <c r="AK74" s="65">
        <f t="shared" si="122"/>
        <v>1.436576217486764E-3</v>
      </c>
      <c r="AL74" s="65">
        <f t="shared" si="148"/>
        <v>4.9189720712287614E-6</v>
      </c>
      <c r="AM74" s="65">
        <f t="shared" si="123"/>
        <v>1.3982401711021768E-4</v>
      </c>
      <c r="AN74" s="65">
        <f t="shared" si="149"/>
        <v>1.0532952854822842E-7</v>
      </c>
      <c r="AO74" s="76"/>
      <c r="AP74" s="62">
        <f t="shared" si="150"/>
        <v>491</v>
      </c>
      <c r="AQ74" s="63">
        <v>330</v>
      </c>
      <c r="AR74" s="64">
        <f t="shared" si="124"/>
        <v>0.34225091999999996</v>
      </c>
      <c r="AS74" s="65">
        <f t="shared" si="125"/>
        <v>0.11525733999999997</v>
      </c>
      <c r="AT74" s="65">
        <f t="shared" si="151"/>
        <v>0.11525733999999997</v>
      </c>
      <c r="AU74" s="65">
        <f t="shared" si="152"/>
        <v>2.5356614799999996E-2</v>
      </c>
      <c r="AV74" s="65">
        <f t="shared" si="126"/>
        <v>0.89113678925568707</v>
      </c>
      <c r="AW74" s="65">
        <f t="shared" si="153"/>
        <v>0.10886320779433571</v>
      </c>
      <c r="AX74" s="65">
        <f t="shared" si="153"/>
        <v>2.5037835910805776E-2</v>
      </c>
      <c r="AY74" s="65">
        <f t="shared" si="127"/>
        <v>0.10271005590575105</v>
      </c>
      <c r="AZ74" s="65">
        <f t="shared" si="128"/>
        <v>2.4721740039374926E-2</v>
      </c>
      <c r="BA74" s="65">
        <f t="shared" si="129"/>
        <v>5.9190439174740764E-3</v>
      </c>
      <c r="BB74" s="65">
        <f t="shared" si="130"/>
        <v>3.1342981968208338E-4</v>
      </c>
      <c r="BC74" s="65">
        <f t="shared" si="131"/>
        <v>2.2740441909041383E-4</v>
      </c>
      <c r="BD74" s="65">
        <f t="shared" si="132"/>
        <v>2.6491730681706819E-6</v>
      </c>
      <c r="BE74" s="65">
        <f t="shared" si="133"/>
        <v>6.5525071121515773E-6</v>
      </c>
      <c r="BF74" s="65">
        <f t="shared" si="134"/>
        <v>1.6793515257034532E-8</v>
      </c>
      <c r="BG74" s="65">
        <f t="shared" si="135"/>
        <v>1.5104490801553445E-7</v>
      </c>
      <c r="BH74" s="65">
        <f t="shared" si="136"/>
        <v>8.516533950210952E-11</v>
      </c>
    </row>
    <row r="75" spans="1:60" x14ac:dyDescent="0.3">
      <c r="A75" s="76"/>
      <c r="B75" s="62">
        <f t="shared" si="137"/>
        <v>4172</v>
      </c>
      <c r="C75" s="73">
        <v>360</v>
      </c>
      <c r="D75" s="64">
        <f t="shared" si="103"/>
        <v>0.40730687999999998</v>
      </c>
      <c r="E75" s="65">
        <f t="shared" si="104"/>
        <v>0.48634353273039493</v>
      </c>
      <c r="F75" s="65">
        <f t="shared" si="138"/>
        <v>0.48634353273039493</v>
      </c>
      <c r="G75" s="65">
        <f t="shared" si="139"/>
        <v>0.10699557720068686</v>
      </c>
      <c r="H75" s="65">
        <f t="shared" si="105"/>
        <v>0.61487054287104903</v>
      </c>
      <c r="I75" s="65">
        <f t="shared" si="106"/>
        <v>0.38511732070924021</v>
      </c>
      <c r="J75" s="92">
        <f t="shared" si="106"/>
        <v>0.10147035110078632</v>
      </c>
      <c r="K75" s="65">
        <f t="shared" si="107"/>
        <v>0.29903831199176173</v>
      </c>
      <c r="L75" s="65">
        <f t="shared" si="108"/>
        <v>9.6138698212461488E-2</v>
      </c>
      <c r="M75" s="65">
        <f t="shared" si="109"/>
        <v>7.2717674537903718E-2</v>
      </c>
      <c r="N75" s="65">
        <f t="shared" si="110"/>
        <v>5.1432077532824801E-3</v>
      </c>
      <c r="O75" s="65">
        <f t="shared" si="111"/>
        <v>1.1788590242234394E-2</v>
      </c>
      <c r="P75" s="65">
        <f t="shared" si="112"/>
        <v>1.8343349407516892E-4</v>
      </c>
      <c r="Q75" s="65">
        <f t="shared" si="113"/>
        <v>1.4333261560798343E-3</v>
      </c>
      <c r="R75" s="65">
        <f t="shared" si="114"/>
        <v>4.9066431441278685E-6</v>
      </c>
      <c r="S75" s="65">
        <f t="shared" si="115"/>
        <v>1.3941778126054882E-4</v>
      </c>
      <c r="T75" s="65">
        <f t="shared" si="116"/>
        <v>1.0499782306475086E-7</v>
      </c>
      <c r="U75" s="76"/>
      <c r="V75" s="62">
        <f t="shared" si="140"/>
        <v>1193</v>
      </c>
      <c r="W75" s="63">
        <v>360</v>
      </c>
      <c r="X75" s="86">
        <f t="shared" si="117"/>
        <v>0.40730687999999998</v>
      </c>
      <c r="Y75" s="65">
        <f t="shared" si="141"/>
        <v>0.57916222626936831</v>
      </c>
      <c r="Z75" s="65">
        <f t="shared" si="142"/>
        <v>0.57916222626936831</v>
      </c>
      <c r="AA75" s="65">
        <f t="shared" si="143"/>
        <v>0.12741568977926099</v>
      </c>
      <c r="AB75" s="65">
        <f t="shared" si="118"/>
        <v>0.56036763125010025</v>
      </c>
      <c r="AC75" s="65">
        <f t="shared" si="144"/>
        <v>0.43960037802067958</v>
      </c>
      <c r="AD75" s="65">
        <f t="shared" si="144"/>
        <v>0.11963235797604162</v>
      </c>
      <c r="AE75" s="65">
        <f t="shared" si="119"/>
        <v>0.32454376484410052</v>
      </c>
      <c r="AF75" s="65">
        <f t="shared" si="145"/>
        <v>0.1121726496888529</v>
      </c>
      <c r="AG75" s="65">
        <f t="shared" si="120"/>
        <v>9.3981744684475788E-2</v>
      </c>
      <c r="AH75" s="65">
        <f t="shared" si="146"/>
        <v>7.1462777672362983E-3</v>
      </c>
      <c r="AI75" s="65">
        <f t="shared" si="121"/>
        <v>1.8143558826713455E-2</v>
      </c>
      <c r="AJ75" s="65">
        <f t="shared" si="147"/>
        <v>3.0351597035553672E-4</v>
      </c>
      <c r="AK75" s="65">
        <f t="shared" si="122"/>
        <v>2.6270159806321535E-3</v>
      </c>
      <c r="AL75" s="65">
        <f t="shared" si="148"/>
        <v>9.6681741804681085E-6</v>
      </c>
      <c r="AM75" s="65">
        <f t="shared" si="123"/>
        <v>3.0429368475762514E-4</v>
      </c>
      <c r="AN75" s="65">
        <f t="shared" si="149"/>
        <v>2.4637541642207705E-7</v>
      </c>
      <c r="AO75" s="76"/>
      <c r="AP75" s="62">
        <f t="shared" si="150"/>
        <v>491</v>
      </c>
      <c r="AQ75" s="63">
        <v>360</v>
      </c>
      <c r="AR75" s="64">
        <f t="shared" si="124"/>
        <v>0.40730687999999998</v>
      </c>
      <c r="AS75" s="65">
        <f t="shared" si="125"/>
        <v>0.13716576</v>
      </c>
      <c r="AT75" s="65">
        <f t="shared" si="151"/>
        <v>0.13716576</v>
      </c>
      <c r="AU75" s="65">
        <f t="shared" si="152"/>
        <v>3.0176467200000001E-2</v>
      </c>
      <c r="AV75" s="65">
        <f t="shared" si="126"/>
        <v>0.87182570032605555</v>
      </c>
      <c r="AW75" s="65">
        <f t="shared" si="153"/>
        <v>0.1281742914487819</v>
      </c>
      <c r="AX75" s="65">
        <f t="shared" si="153"/>
        <v>2.9725703147253067E-2</v>
      </c>
      <c r="AY75" s="65">
        <f t="shared" si="127"/>
        <v>0.11958463477275566</v>
      </c>
      <c r="AZ75" s="65">
        <f t="shared" si="128"/>
        <v>2.9279450493949144E-2</v>
      </c>
      <c r="BA75" s="65">
        <f t="shared" si="129"/>
        <v>8.2014586564637271E-3</v>
      </c>
      <c r="BB75" s="65">
        <f t="shared" si="130"/>
        <v>4.4177518873234008E-4</v>
      </c>
      <c r="BC75" s="65">
        <f t="shared" si="131"/>
        <v>3.7498643657414202E-4</v>
      </c>
      <c r="BD75" s="65">
        <f t="shared" si="132"/>
        <v>4.4437381641850905E-6</v>
      </c>
      <c r="BE75" s="65">
        <f t="shared" si="133"/>
        <v>1.2858824890595998E-5</v>
      </c>
      <c r="BF75" s="65">
        <f t="shared" si="134"/>
        <v>3.3524079739229898E-8</v>
      </c>
      <c r="BG75" s="65">
        <f t="shared" si="135"/>
        <v>3.5275809776510334E-7</v>
      </c>
      <c r="BH75" s="65">
        <f t="shared" si="136"/>
        <v>2.023276585322111E-10</v>
      </c>
    </row>
    <row r="76" spans="1:60" x14ac:dyDescent="0.3">
      <c r="A76" s="76"/>
      <c r="B76" s="62">
        <f t="shared" si="137"/>
        <v>4172</v>
      </c>
      <c r="C76" s="63">
        <v>390</v>
      </c>
      <c r="D76" s="64">
        <f t="shared" si="103"/>
        <v>0.47801987999999995</v>
      </c>
      <c r="E76" s="65">
        <f t="shared" si="104"/>
        <v>0.57077817382942175</v>
      </c>
      <c r="F76" s="65">
        <f t="shared" si="138"/>
        <v>0.57077817382942175</v>
      </c>
      <c r="G76" s="65">
        <f t="shared" si="139"/>
        <v>0.12557119824247276</v>
      </c>
      <c r="H76" s="65">
        <f t="shared" si="105"/>
        <v>0.56508553278710205</v>
      </c>
      <c r="I76" s="65">
        <f t="shared" si="106"/>
        <v>0.4348849473493438</v>
      </c>
      <c r="J76" s="90">
        <f t="shared" si="106"/>
        <v>0.11800702926747245</v>
      </c>
      <c r="K76" s="65">
        <f t="shared" si="107"/>
        <v>0.32253848846164795</v>
      </c>
      <c r="L76" s="65">
        <f t="shared" si="108"/>
        <v>0.110752913562268</v>
      </c>
      <c r="M76" s="65">
        <f t="shared" si="109"/>
        <v>9.2048964716920714E-2</v>
      </c>
      <c r="N76" s="65">
        <f t="shared" si="110"/>
        <v>6.9536880324295022E-3</v>
      </c>
      <c r="O76" s="65">
        <f t="shared" si="111"/>
        <v>1.751317999467096E-2</v>
      </c>
      <c r="P76" s="65">
        <f t="shared" si="112"/>
        <v>2.9106097947883847E-4</v>
      </c>
      <c r="Q76" s="65">
        <f t="shared" si="113"/>
        <v>2.4990352238260633E-3</v>
      </c>
      <c r="R76" s="65">
        <f t="shared" si="114"/>
        <v>9.137218988696379E-6</v>
      </c>
      <c r="S76" s="65">
        <f t="shared" si="115"/>
        <v>2.8527895227816808E-4</v>
      </c>
      <c r="T76" s="65">
        <f t="shared" si="116"/>
        <v>2.2947430740289592E-7</v>
      </c>
      <c r="U76" s="76"/>
      <c r="V76" s="62">
        <f t="shared" si="140"/>
        <v>1193</v>
      </c>
      <c r="W76" s="63">
        <v>390</v>
      </c>
      <c r="X76" s="86">
        <f t="shared" si="117"/>
        <v>0.47801987999999995</v>
      </c>
      <c r="Y76" s="65">
        <f t="shared" si="141"/>
        <v>0.67971122388557803</v>
      </c>
      <c r="Z76" s="65">
        <f t="shared" si="142"/>
        <v>0.67971122388557803</v>
      </c>
      <c r="AA76" s="65">
        <f t="shared" si="143"/>
        <v>0.14953646925482711</v>
      </c>
      <c r="AB76" s="65">
        <f t="shared" si="118"/>
        <v>0.50676331237799055</v>
      </c>
      <c r="AC76" s="65">
        <f t="shared" si="144"/>
        <v>0.49315991926006753</v>
      </c>
      <c r="AD76" s="65">
        <f t="shared" si="144"/>
        <v>0.13889295282135039</v>
      </c>
      <c r="AE76" s="65">
        <f t="shared" si="119"/>
        <v>0.34445271127675348</v>
      </c>
      <c r="AF76" s="65">
        <f t="shared" si="145"/>
        <v>0.12876690544236355</v>
      </c>
      <c r="AG76" s="65">
        <f t="shared" si="120"/>
        <v>0.11706418697631386</v>
      </c>
      <c r="AH76" s="65">
        <f t="shared" si="146"/>
        <v>9.6276741983606119E-3</v>
      </c>
      <c r="AI76" s="65">
        <f t="shared" si="121"/>
        <v>2.6523280600946813E-2</v>
      </c>
      <c r="AJ76" s="65">
        <f t="shared" si="147"/>
        <v>4.7989613558621467E-4</v>
      </c>
      <c r="AK76" s="65">
        <f t="shared" si="122"/>
        <v>4.5070428796825414E-3</v>
      </c>
      <c r="AL76" s="65">
        <f t="shared" si="148"/>
        <v>1.7940493431149582E-5</v>
      </c>
      <c r="AM76" s="65">
        <f t="shared" si="123"/>
        <v>6.1269752637076007E-4</v>
      </c>
      <c r="AN76" s="65">
        <f t="shared" si="149"/>
        <v>5.3655160887670534E-7</v>
      </c>
      <c r="AO76" s="76"/>
      <c r="AP76" s="62">
        <f t="shared" si="150"/>
        <v>491</v>
      </c>
      <c r="AQ76" s="63">
        <v>390</v>
      </c>
      <c r="AR76" s="64">
        <f t="shared" si="124"/>
        <v>0.47801987999999995</v>
      </c>
      <c r="AS76" s="65">
        <f t="shared" si="125"/>
        <v>0.16097925999999999</v>
      </c>
      <c r="AT76" s="65">
        <f t="shared" si="151"/>
        <v>0.16097925999999999</v>
      </c>
      <c r="AU76" s="65">
        <f t="shared" si="152"/>
        <v>3.5415437199999983E-2</v>
      </c>
      <c r="AV76" s="65">
        <f t="shared" si="126"/>
        <v>0.85130972708779784</v>
      </c>
      <c r="AW76" s="65">
        <f t="shared" si="153"/>
        <v>0.14869025185265569</v>
      </c>
      <c r="AX76" s="65">
        <f t="shared" si="153"/>
        <v>3.4795648835761341E-2</v>
      </c>
      <c r="AY76" s="65">
        <f t="shared" si="127"/>
        <v>0.13704320989739563</v>
      </c>
      <c r="AZ76" s="65">
        <f t="shared" si="128"/>
        <v>3.4183134083729673E-2</v>
      </c>
      <c r="BA76" s="65">
        <f t="shared" si="129"/>
        <v>1.1030557258653713E-2</v>
      </c>
      <c r="BB76" s="65">
        <f t="shared" si="130"/>
        <v>6.0530531922075356E-4</v>
      </c>
      <c r="BC76" s="65">
        <f t="shared" si="131"/>
        <v>5.9189698162856767E-4</v>
      </c>
      <c r="BD76" s="65">
        <f t="shared" si="132"/>
        <v>7.1457175065628473E-6</v>
      </c>
      <c r="BE76" s="65">
        <f t="shared" si="133"/>
        <v>2.3820784524700102E-5</v>
      </c>
      <c r="BF76" s="65">
        <f t="shared" si="134"/>
        <v>6.3267177400654247E-8</v>
      </c>
      <c r="BG76" s="65">
        <f t="shared" si="135"/>
        <v>7.669304530811348E-7</v>
      </c>
      <c r="BH76" s="65">
        <f t="shared" si="136"/>
        <v>4.4812694961082573E-10</v>
      </c>
    </row>
    <row r="77" spans="1:60" x14ac:dyDescent="0.3">
      <c r="A77" s="76"/>
      <c r="B77" s="62">
        <f t="shared" si="137"/>
        <v>4172</v>
      </c>
      <c r="C77" s="63">
        <v>420</v>
      </c>
      <c r="D77" s="64">
        <f t="shared" si="103"/>
        <v>0.55438991999999998</v>
      </c>
      <c r="E77" s="65">
        <f t="shared" si="104"/>
        <v>0.66196758621637086</v>
      </c>
      <c r="F77" s="65">
        <f t="shared" si="138"/>
        <v>0.66196758621637086</v>
      </c>
      <c r="G77" s="65">
        <f t="shared" si="139"/>
        <v>0.14563286896760153</v>
      </c>
      <c r="H77" s="65">
        <f t="shared" si="105"/>
        <v>0.51583538474216428</v>
      </c>
      <c r="I77" s="65">
        <f t="shared" si="106"/>
        <v>0.48409812200206592</v>
      </c>
      <c r="J77" s="90">
        <f t="shared" si="106"/>
        <v>0.13552496776344869</v>
      </c>
      <c r="K77" s="65">
        <f t="shared" si="107"/>
        <v>0.34146630452276344</v>
      </c>
      <c r="L77" s="65">
        <f t="shared" si="108"/>
        <v>0.12589597739196859</v>
      </c>
      <c r="M77" s="65">
        <f t="shared" si="109"/>
        <v>0.11301981268957899</v>
      </c>
      <c r="N77" s="65">
        <f t="shared" si="110"/>
        <v>9.1672961895363416E-3</v>
      </c>
      <c r="O77" s="65">
        <f t="shared" si="111"/>
        <v>2.4938484200248991E-2</v>
      </c>
      <c r="P77" s="65">
        <f t="shared" si="112"/>
        <v>4.4501988158597962E-4</v>
      </c>
      <c r="Q77" s="65">
        <f t="shared" si="113"/>
        <v>4.1271170474834811E-3</v>
      </c>
      <c r="R77" s="65">
        <f t="shared" si="114"/>
        <v>1.6202380525747128E-5</v>
      </c>
      <c r="S77" s="65">
        <f t="shared" si="115"/>
        <v>5.464035419910151E-4</v>
      </c>
      <c r="T77" s="65">
        <f t="shared" si="116"/>
        <v>4.7191983201387004E-7</v>
      </c>
      <c r="U77" s="76"/>
      <c r="V77" s="62">
        <f t="shared" si="140"/>
        <v>1193</v>
      </c>
      <c r="W77" s="63">
        <v>420</v>
      </c>
      <c r="X77" s="86">
        <f t="shared" si="117"/>
        <v>0.55438991999999998</v>
      </c>
      <c r="Y77" s="65">
        <f t="shared" si="141"/>
        <v>0.78830414131108462</v>
      </c>
      <c r="Z77" s="65">
        <f t="shared" si="142"/>
        <v>0.78830414131108462</v>
      </c>
      <c r="AA77" s="65">
        <f t="shared" si="143"/>
        <v>0.17342691108843855</v>
      </c>
      <c r="AB77" s="65">
        <f t="shared" si="118"/>
        <v>0.45461510490537466</v>
      </c>
      <c r="AC77" s="65">
        <f t="shared" si="144"/>
        <v>0.54521446885374059</v>
      </c>
      <c r="AD77" s="65">
        <f t="shared" si="144"/>
        <v>0.15922136691417979</v>
      </c>
      <c r="AE77" s="65">
        <f t="shared" si="119"/>
        <v>0.35837496989948003</v>
      </c>
      <c r="AF77" s="65">
        <f t="shared" si="145"/>
        <v>0.14581363559553551</v>
      </c>
      <c r="AG77" s="65">
        <f t="shared" si="120"/>
        <v>0.14125423645699769</v>
      </c>
      <c r="AH77" s="65">
        <f t="shared" si="146"/>
        <v>1.2644004207954458E-2</v>
      </c>
      <c r="AI77" s="65">
        <f t="shared" si="121"/>
        <v>3.7117099858928825E-2</v>
      </c>
      <c r="AJ77" s="65">
        <f t="shared" si="147"/>
        <v>7.3093686452492025E-4</v>
      </c>
      <c r="AK77" s="65">
        <f t="shared" si="122"/>
        <v>7.3148908830626656E-3</v>
      </c>
      <c r="AL77" s="65">
        <f t="shared" si="148"/>
        <v>3.1691030653806342E-5</v>
      </c>
      <c r="AM77" s="65">
        <f t="shared" si="123"/>
        <v>1.1532717552713992E-3</v>
      </c>
      <c r="AN77" s="65">
        <f t="shared" si="149"/>
        <v>1.0992155110997308E-6</v>
      </c>
      <c r="AO77" s="76"/>
      <c r="AP77" s="62">
        <f t="shared" si="150"/>
        <v>491</v>
      </c>
      <c r="AQ77" s="63">
        <v>420</v>
      </c>
      <c r="AR77" s="64">
        <f t="shared" si="124"/>
        <v>0.55438991999999998</v>
      </c>
      <c r="AS77" s="65">
        <f t="shared" si="125"/>
        <v>0.18669784</v>
      </c>
      <c r="AT77" s="65">
        <f t="shared" si="151"/>
        <v>0.18669784</v>
      </c>
      <c r="AU77" s="65">
        <f t="shared" si="152"/>
        <v>4.1073524799999983E-2</v>
      </c>
      <c r="AV77" s="65">
        <f t="shared" si="126"/>
        <v>0.82969439897298669</v>
      </c>
      <c r="AW77" s="65">
        <f t="shared" si="153"/>
        <v>0.17030555089426122</v>
      </c>
      <c r="AX77" s="65">
        <f t="shared" si="153"/>
        <v>4.024143869627185E-2</v>
      </c>
      <c r="AY77" s="65">
        <f t="shared" si="127"/>
        <v>0.15490215214835484</v>
      </c>
      <c r="AZ77" s="65">
        <f t="shared" si="128"/>
        <v>3.9420667069456551E-2</v>
      </c>
      <c r="BA77" s="65">
        <f t="shared" si="129"/>
        <v>1.4459948608724602E-2</v>
      </c>
      <c r="BB77" s="65">
        <f t="shared" si="130"/>
        <v>8.0957287325493315E-4</v>
      </c>
      <c r="BC77" s="65">
        <f t="shared" si="131"/>
        <v>8.9988039058662959E-4</v>
      </c>
      <c r="BD77" s="65">
        <f t="shared" si="132"/>
        <v>1.1084003829014582E-5</v>
      </c>
      <c r="BE77" s="65">
        <f t="shared" si="133"/>
        <v>4.200143129522001E-5</v>
      </c>
      <c r="BF77" s="65">
        <f t="shared" si="134"/>
        <v>1.1381477653858129E-7</v>
      </c>
      <c r="BG77" s="65">
        <f t="shared" si="135"/>
        <v>1.5683152999451958E-6</v>
      </c>
      <c r="BH77" s="65">
        <f t="shared" si="136"/>
        <v>9.349548093527751E-10</v>
      </c>
    </row>
    <row r="78" spans="1:60" x14ac:dyDescent="0.3">
      <c r="A78" s="76"/>
      <c r="B78" s="62">
        <f t="shared" si="137"/>
        <v>4172</v>
      </c>
      <c r="C78" s="63">
        <v>450</v>
      </c>
      <c r="D78" s="64">
        <f t="shared" si="103"/>
        <v>0.63641700000000001</v>
      </c>
      <c r="E78" s="65">
        <f t="shared" si="104"/>
        <v>0.75991176989124209</v>
      </c>
      <c r="F78" s="65">
        <f t="shared" si="138"/>
        <v>0.75991176989124209</v>
      </c>
      <c r="G78" s="65">
        <f t="shared" si="139"/>
        <v>0.16718058937607327</v>
      </c>
      <c r="H78" s="65">
        <f t="shared" si="105"/>
        <v>0.46770769108996713</v>
      </c>
      <c r="I78" s="65">
        <f t="shared" si="106"/>
        <v>0.53215223207223983</v>
      </c>
      <c r="J78" s="90">
        <f t="shared" si="106"/>
        <v>0.15395316324407013</v>
      </c>
      <c r="K78" s="65">
        <f t="shared" si="107"/>
        <v>0.35541657932792325</v>
      </c>
      <c r="L78" s="65">
        <f t="shared" si="108"/>
        <v>0.14144260441493486</v>
      </c>
      <c r="M78" s="65">
        <f t="shared" si="109"/>
        <v>0.1350426209228866</v>
      </c>
      <c r="N78" s="65">
        <f t="shared" si="110"/>
        <v>1.1823228984487798E-2</v>
      </c>
      <c r="O78" s="65">
        <f t="shared" si="111"/>
        <v>3.4206825692087613E-2</v>
      </c>
      <c r="P78" s="65">
        <f t="shared" si="112"/>
        <v>6.5887146331831405E-4</v>
      </c>
      <c r="Q78" s="65">
        <f t="shared" si="113"/>
        <v>6.4985423635088779E-3</v>
      </c>
      <c r="R78" s="65">
        <f t="shared" si="114"/>
        <v>2.75376298901579E-5</v>
      </c>
      <c r="S78" s="65">
        <f t="shared" si="115"/>
        <v>9.8766376583344934E-4</v>
      </c>
      <c r="T78" s="65">
        <f t="shared" si="116"/>
        <v>9.2075143901135412E-7</v>
      </c>
      <c r="U78" s="76"/>
      <c r="V78" s="62">
        <f t="shared" si="140"/>
        <v>1193</v>
      </c>
      <c r="W78" s="63">
        <v>450</v>
      </c>
      <c r="X78" s="86">
        <f t="shared" si="117"/>
        <v>0.63641700000000001</v>
      </c>
      <c r="Y78" s="65">
        <f t="shared" si="141"/>
        <v>0.90494097854588806</v>
      </c>
      <c r="Z78" s="65">
        <f t="shared" si="142"/>
        <v>0.90494097854588806</v>
      </c>
      <c r="AA78" s="65">
        <f t="shared" si="143"/>
        <v>0.19908701528009531</v>
      </c>
      <c r="AB78" s="65">
        <f t="shared" si="118"/>
        <v>0.40456576245795794</v>
      </c>
      <c r="AC78" s="65">
        <f t="shared" si="144"/>
        <v>0.5950807457320948</v>
      </c>
      <c r="AD78" s="65">
        <f t="shared" si="144"/>
        <v>0.18052134399105327</v>
      </c>
      <c r="AE78" s="65">
        <f t="shared" si="119"/>
        <v>0.36610813696486777</v>
      </c>
      <c r="AF78" s="65">
        <f t="shared" si="145"/>
        <v>0.16314754518976438</v>
      </c>
      <c r="AG78" s="65">
        <f t="shared" si="120"/>
        <v>0.16565312785929973</v>
      </c>
      <c r="AH78" s="65">
        <f t="shared" si="146"/>
        <v>1.6240278911052331E-2</v>
      </c>
      <c r="AI78" s="65">
        <f t="shared" si="121"/>
        <v>4.9968767874727267E-2</v>
      </c>
      <c r="AJ78" s="65">
        <f t="shared" si="147"/>
        <v>1.0777428852392283E-3</v>
      </c>
      <c r="AK78" s="65">
        <f t="shared" si="122"/>
        <v>1.1304696424322009E-2</v>
      </c>
      <c r="AL78" s="65">
        <f t="shared" si="148"/>
        <v>5.3641153565409077E-5</v>
      </c>
      <c r="AM78" s="65">
        <f t="shared" si="123"/>
        <v>2.0460166088780317E-3</v>
      </c>
      <c r="AN78" s="65">
        <f t="shared" si="149"/>
        <v>2.1358514319037069E-6</v>
      </c>
      <c r="AO78" s="76"/>
      <c r="AP78" s="62">
        <f t="shared" si="150"/>
        <v>491</v>
      </c>
      <c r="AQ78" s="63">
        <v>450</v>
      </c>
      <c r="AR78" s="64">
        <f t="shared" si="124"/>
        <v>0.63641700000000001</v>
      </c>
      <c r="AS78" s="65">
        <f t="shared" si="125"/>
        <v>0.2143215</v>
      </c>
      <c r="AT78" s="65">
        <f t="shared" si="151"/>
        <v>0.2143215</v>
      </c>
      <c r="AU78" s="65">
        <f t="shared" si="152"/>
        <v>4.7150730000000002E-2</v>
      </c>
      <c r="AV78" s="65">
        <f t="shared" si="126"/>
        <v>0.80708886423709836</v>
      </c>
      <c r="AW78" s="65">
        <f t="shared" si="153"/>
        <v>0.19291102370701824</v>
      </c>
      <c r="AX78" s="65">
        <f t="shared" si="153"/>
        <v>4.6056401150744899E-2</v>
      </c>
      <c r="AY78" s="65">
        <f t="shared" si="127"/>
        <v>0.17297649601659126</v>
      </c>
      <c r="AZ78" s="65">
        <f t="shared" si="128"/>
        <v>4.497913706387844E-2</v>
      </c>
      <c r="BA78" s="65">
        <f t="shared" si="129"/>
        <v>1.8536291045509933E-2</v>
      </c>
      <c r="BB78" s="65">
        <f t="shared" si="130"/>
        <v>1.0603995736659625E-3</v>
      </c>
      <c r="BC78" s="65">
        <f t="shared" si="131"/>
        <v>1.3242419004367524E-3</v>
      </c>
      <c r="BD78" s="65">
        <f t="shared" si="132"/>
        <v>1.6666204663346305E-5</v>
      </c>
      <c r="BE78" s="65">
        <f t="shared" si="133"/>
        <v>7.0953377616113857E-5</v>
      </c>
      <c r="BF78" s="65">
        <f t="shared" si="134"/>
        <v>1.9645592905154561E-7</v>
      </c>
      <c r="BG78" s="65">
        <f t="shared" si="135"/>
        <v>3.0413668641503885E-6</v>
      </c>
      <c r="BH78" s="65">
        <f t="shared" si="136"/>
        <v>1.8526080935217168E-9</v>
      </c>
    </row>
    <row r="79" spans="1:60" x14ac:dyDescent="0.3">
      <c r="A79" s="76"/>
      <c r="B79" s="62">
        <f t="shared" si="137"/>
        <v>4172</v>
      </c>
      <c r="C79" s="63">
        <v>480</v>
      </c>
      <c r="D79" s="64">
        <f t="shared" si="103"/>
        <v>0.72410112000000004</v>
      </c>
      <c r="E79" s="65">
        <f t="shared" si="104"/>
        <v>0.86461072485403556</v>
      </c>
      <c r="F79" s="65">
        <f t="shared" si="138"/>
        <v>0.86461072485403556</v>
      </c>
      <c r="G79" s="65">
        <f t="shared" si="139"/>
        <v>0.19021435946788778</v>
      </c>
      <c r="H79" s="65">
        <f t="shared" si="105"/>
        <v>0.42121548943812154</v>
      </c>
      <c r="I79" s="65">
        <f t="shared" si="106"/>
        <v>0.57850632157146453</v>
      </c>
      <c r="J79" s="90">
        <f t="shared" si="106"/>
        <v>0.17321805767477375</v>
      </c>
      <c r="K79" s="65">
        <f t="shared" si="107"/>
        <v>0.36418742964284162</v>
      </c>
      <c r="L79" s="65">
        <f t="shared" si="108"/>
        <v>0.15726578694531115</v>
      </c>
      <c r="M79" s="65">
        <f t="shared" si="109"/>
        <v>0.15744017876311267</v>
      </c>
      <c r="N79" s="65">
        <f t="shared" si="110"/>
        <v>1.4957105465007834E-2</v>
      </c>
      <c r="O79" s="65">
        <f t="shared" si="111"/>
        <v>4.5374822360507931E-2</v>
      </c>
      <c r="P79" s="65">
        <f t="shared" si="112"/>
        <v>9.4835207850670316E-4</v>
      </c>
      <c r="Q79" s="65">
        <f t="shared" si="113"/>
        <v>9.8078895128104644E-3</v>
      </c>
      <c r="R79" s="65">
        <f t="shared" si="114"/>
        <v>4.5097545790798148E-5</v>
      </c>
      <c r="S79" s="65">
        <f t="shared" si="115"/>
        <v>1.69600129219187E-3</v>
      </c>
      <c r="T79" s="65">
        <f t="shared" si="116"/>
        <v>1.7156401572340816E-6</v>
      </c>
      <c r="U79" s="76"/>
      <c r="V79" s="62">
        <f t="shared" si="140"/>
        <v>1193</v>
      </c>
      <c r="W79" s="63">
        <v>480</v>
      </c>
      <c r="X79" s="86">
        <f t="shared" si="117"/>
        <v>0.72410112000000004</v>
      </c>
      <c r="Y79" s="65">
        <f t="shared" si="141"/>
        <v>1.0296217355899882</v>
      </c>
      <c r="Z79" s="65">
        <f t="shared" si="142"/>
        <v>1.0296217355899882</v>
      </c>
      <c r="AA79" s="65">
        <f t="shared" si="143"/>
        <v>0.2265167818297974</v>
      </c>
      <c r="AB79" s="65">
        <f t="shared" si="118"/>
        <v>0.35714202914066345</v>
      </c>
      <c r="AC79" s="65">
        <f t="shared" si="144"/>
        <v>0.64216744845130269</v>
      </c>
      <c r="AD79" s="65">
        <f t="shared" si="144"/>
        <v>0.20269388348373968</v>
      </c>
      <c r="AE79" s="65">
        <f t="shared" si="119"/>
        <v>0.36772119589594005</v>
      </c>
      <c r="AF79" s="65">
        <f t="shared" si="145"/>
        <v>0.18060318063411843</v>
      </c>
      <c r="AG79" s="65">
        <f t="shared" si="120"/>
        <v>0.1893068679658019</v>
      </c>
      <c r="AH79" s="65">
        <f t="shared" si="146"/>
        <v>2.0454825632733046E-2</v>
      </c>
      <c r="AI79" s="65">
        <f t="shared" si="121"/>
        <v>6.4971488651351217E-2</v>
      </c>
      <c r="AJ79" s="65">
        <f t="shared" si="147"/>
        <v>1.5444537584054464E-3</v>
      </c>
      <c r="AK79" s="65">
        <f t="shared" si="122"/>
        <v>1.6724014227267367E-2</v>
      </c>
      <c r="AL79" s="65">
        <f t="shared" si="148"/>
        <v>8.7461173759734284E-5</v>
      </c>
      <c r="AM79" s="65">
        <f t="shared" si="123"/>
        <v>3.4438817109421365E-3</v>
      </c>
      <c r="AN79" s="65">
        <f t="shared" si="149"/>
        <v>3.9622847230223455E-6</v>
      </c>
      <c r="AO79" s="76"/>
      <c r="AP79" s="62">
        <f t="shared" si="150"/>
        <v>491</v>
      </c>
      <c r="AQ79" s="63">
        <v>480</v>
      </c>
      <c r="AR79" s="64">
        <f t="shared" si="124"/>
        <v>0.72410112000000004</v>
      </c>
      <c r="AS79" s="65">
        <f t="shared" si="125"/>
        <v>0.24385024000000002</v>
      </c>
      <c r="AT79" s="65">
        <f t="shared" si="151"/>
        <v>0.24385024000000002</v>
      </c>
      <c r="AU79" s="65">
        <f t="shared" si="152"/>
        <v>5.3647052800000011E-2</v>
      </c>
      <c r="AV79" s="65">
        <f t="shared" si="126"/>
        <v>0.78360497815746122</v>
      </c>
      <c r="AW79" s="65">
        <f t="shared" si="153"/>
        <v>0.21639478479633875</v>
      </c>
      <c r="AX79" s="65">
        <f t="shared" si="153"/>
        <v>5.2233440938830679E-2</v>
      </c>
      <c r="AY79" s="65">
        <f t="shared" si="127"/>
        <v>0.19108226198889169</v>
      </c>
      <c r="AZ79" s="65">
        <f t="shared" si="128"/>
        <v>5.0844882634332483E-2</v>
      </c>
      <c r="BA79" s="65">
        <f t="shared" si="129"/>
        <v>2.3297727722867062E-2</v>
      </c>
      <c r="BB79" s="65">
        <f t="shared" si="130"/>
        <v>1.3638390516469191E-3</v>
      </c>
      <c r="BC79" s="65">
        <f t="shared" si="131"/>
        <v>1.8937188322252624E-3</v>
      </c>
      <c r="BD79" s="65">
        <f t="shared" si="132"/>
        <v>2.4388648538134736E-5</v>
      </c>
      <c r="BE79" s="65">
        <f t="shared" si="133"/>
        <v>1.1544594793266249E-4</v>
      </c>
      <c r="BF79" s="65">
        <f t="shared" si="134"/>
        <v>3.2709477896148941E-7</v>
      </c>
      <c r="BG79" s="65">
        <f t="shared" si="135"/>
        <v>5.630304422081451E-6</v>
      </c>
      <c r="BH79" s="65">
        <f t="shared" si="136"/>
        <v>3.5095341755102708E-9</v>
      </c>
    </row>
    <row r="80" spans="1:60" ht="15" thickBot="1" x14ac:dyDescent="0.35">
      <c r="A80" s="38"/>
      <c r="B80" s="62">
        <f t="shared" si="137"/>
        <v>4172</v>
      </c>
      <c r="C80" s="63">
        <v>510</v>
      </c>
      <c r="D80" s="64">
        <f t="shared" si="103"/>
        <v>0.81744227999999997</v>
      </c>
      <c r="E80" s="65">
        <f t="shared" si="104"/>
        <v>0.97606445110475104</v>
      </c>
      <c r="F80" s="65">
        <f t="shared" si="138"/>
        <v>0.97606445110475104</v>
      </c>
      <c r="G80" s="65">
        <f t="shared" si="139"/>
        <v>0.21473417924304516</v>
      </c>
      <c r="H80" s="65">
        <f t="shared" si="105"/>
        <v>0.37679106435996107</v>
      </c>
      <c r="I80" s="65">
        <f>SUM(K80,M80,O80,Q80,S80)</f>
        <v>0.62268469290660355</v>
      </c>
      <c r="J80" s="93">
        <f>SUM(L80,N80,P80,R80,T80)</f>
        <v>0.19324402255183434</v>
      </c>
      <c r="K80" s="65">
        <f t="shared" si="107"/>
        <v>0.36777236341568031</v>
      </c>
      <c r="L80" s="65">
        <f t="shared" si="108"/>
        <v>0.17323805833376479</v>
      </c>
      <c r="M80" s="65">
        <f t="shared" si="109"/>
        <v>0.17948476501441152</v>
      </c>
      <c r="N80" s="65">
        <f t="shared" si="110"/>
        <v>1.8600066134979883E-2</v>
      </c>
      <c r="O80" s="65">
        <f t="shared" si="111"/>
        <v>5.8396232881818944E-2</v>
      </c>
      <c r="P80" s="65">
        <f t="shared" si="112"/>
        <v>1.3313566451204214E-3</v>
      </c>
      <c r="Q80" s="65">
        <f t="shared" si="113"/>
        <v>1.4249621748594454E-2</v>
      </c>
      <c r="R80" s="65">
        <f t="shared" si="114"/>
        <v>7.1471944117426972E-5</v>
      </c>
      <c r="S80" s="65">
        <f t="shared" si="115"/>
        <v>2.7817098460984338E-3</v>
      </c>
      <c r="T80" s="65">
        <f t="shared" si="116"/>
        <v>3.0694938517920946E-6</v>
      </c>
      <c r="U80" s="76"/>
      <c r="V80" s="62">
        <f t="shared" si="140"/>
        <v>1193</v>
      </c>
      <c r="W80" s="63">
        <v>510</v>
      </c>
      <c r="X80" s="86">
        <f t="shared" si="117"/>
        <v>0.81744227999999997</v>
      </c>
      <c r="Y80" s="65">
        <f t="shared" si="141"/>
        <v>1.1623464124433849</v>
      </c>
      <c r="Z80" s="65">
        <f>1*$Y80</f>
        <v>1.1623464124433849</v>
      </c>
      <c r="AA80" s="65">
        <f t="shared" si="143"/>
        <v>0.25571621073754469</v>
      </c>
      <c r="AB80" s="65">
        <f t="shared" si="118"/>
        <v>0.3127514753051937</v>
      </c>
      <c r="AC80" s="65">
        <f>SUM(AE80,AG80,AI80,AK80,AM80)</f>
        <v>0.68596980903280547</v>
      </c>
      <c r="AD80" s="65">
        <f>SUM(AF80,AH80,AJ80,AL80,AN80)</f>
        <v>0.22563799478720176</v>
      </c>
      <c r="AE80" s="65">
        <f t="shared" si="119"/>
        <v>0.3635255553073678</v>
      </c>
      <c r="AF80" s="65">
        <f t="shared" si="145"/>
        <v>0.19801683791181907</v>
      </c>
      <c r="AG80" s="65">
        <f t="shared" si="120"/>
        <v>0.21127131252150413</v>
      </c>
      <c r="AH80" s="65">
        <f t="shared" si="146"/>
        <v>2.5318057726520477E-2</v>
      </c>
      <c r="AI80" s="65">
        <f t="shared" si="121"/>
        <v>8.1856817387191833E-2</v>
      </c>
      <c r="AJ80" s="65">
        <f t="shared" si="147"/>
        <v>2.1580792616867437E-3</v>
      </c>
      <c r="AK80" s="65">
        <f t="shared" si="122"/>
        <v>2.3786494506008934E-2</v>
      </c>
      <c r="AL80" s="65">
        <f t="shared" si="148"/>
        <v>1.3796396281745308E-4</v>
      </c>
      <c r="AM80" s="65">
        <f t="shared" si="123"/>
        <v>5.5296293107327541E-3</v>
      </c>
      <c r="AN80" s="65">
        <f t="shared" si="149"/>
        <v>7.0559243580029215E-6</v>
      </c>
      <c r="AO80" s="76"/>
      <c r="AP80" s="62">
        <f t="shared" si="150"/>
        <v>491</v>
      </c>
      <c r="AQ80" s="63">
        <v>510</v>
      </c>
      <c r="AR80" s="64">
        <f t="shared" si="124"/>
        <v>0.81744227999999997</v>
      </c>
      <c r="AS80" s="65">
        <f t="shared" si="125"/>
        <v>0.27528406</v>
      </c>
      <c r="AT80" s="65">
        <f t="shared" si="151"/>
        <v>0.27528406</v>
      </c>
      <c r="AU80" s="65">
        <f t="shared" si="152"/>
        <v>6.0562493199999984E-2</v>
      </c>
      <c r="AV80" s="65">
        <f t="shared" si="126"/>
        <v>0.75935638980971276</v>
      </c>
      <c r="AW80" s="65">
        <f t="shared" si="153"/>
        <v>0.24064313251330111</v>
      </c>
      <c r="AX80" s="65">
        <f t="shared" si="153"/>
        <v>5.8765053538267761E-2</v>
      </c>
      <c r="AY80" s="65">
        <f t="shared" si="127"/>
        <v>0.20903870997376037</v>
      </c>
      <c r="AZ80" s="65">
        <f t="shared" si="128"/>
        <v>5.7003535040750418E-2</v>
      </c>
      <c r="BA80" s="65">
        <f t="shared" si="129"/>
        <v>2.8772512389369623E-2</v>
      </c>
      <c r="BB80" s="65">
        <f t="shared" si="130"/>
        <v>1.726138101640704E-3</v>
      </c>
      <c r="BC80" s="65">
        <f t="shared" si="131"/>
        <v>2.640204675648657E-3</v>
      </c>
      <c r="BD80" s="65">
        <f t="shared" si="132"/>
        <v>3.4846409014292004E-5</v>
      </c>
      <c r="BE80" s="65">
        <f t="shared" si="133"/>
        <v>1.8170156558588635E-4</v>
      </c>
      <c r="BF80" s="65">
        <f t="shared" si="134"/>
        <v>5.2759635224311946E-7</v>
      </c>
      <c r="BG80" s="65">
        <f t="shared" si="135"/>
        <v>1.0003908936567816E-5</v>
      </c>
      <c r="BH80" s="65">
        <f t="shared" si="136"/>
        <v>6.3905100990137436E-9</v>
      </c>
    </row>
    <row r="81" spans="1:60" x14ac:dyDescent="0.3">
      <c r="A81" s="38"/>
      <c r="B81" s="62">
        <f t="shared" si="137"/>
        <v>4172</v>
      </c>
      <c r="C81" s="63">
        <v>540</v>
      </c>
      <c r="D81" s="64">
        <f t="shared" si="103"/>
        <v>0.91644048</v>
      </c>
      <c r="E81" s="65">
        <f t="shared" si="104"/>
        <v>1.0942729486433886</v>
      </c>
      <c r="F81" s="65">
        <f t="shared" si="138"/>
        <v>1.0942729486433886</v>
      </c>
      <c r="G81" s="65">
        <f t="shared" si="139"/>
        <v>0.24074004870154542</v>
      </c>
      <c r="H81" s="65">
        <f t="shared" si="105"/>
        <v>0.33478292286454508</v>
      </c>
      <c r="I81" s="65"/>
      <c r="J81" s="65"/>
      <c r="K81" s="65"/>
      <c r="L81" s="65"/>
      <c r="M81" s="65"/>
      <c r="N81" s="65"/>
      <c r="O81" s="65"/>
      <c r="P81" s="65"/>
      <c r="Q81" s="65"/>
      <c r="R81" s="65"/>
      <c r="S81" s="65"/>
      <c r="T81" s="65"/>
      <c r="U81" s="76"/>
      <c r="V81" s="62"/>
      <c r="W81" s="63"/>
      <c r="X81" s="86"/>
      <c r="Y81" s="65"/>
      <c r="Z81" s="65"/>
      <c r="AA81" s="65"/>
      <c r="AB81" s="65"/>
      <c r="AC81" s="65"/>
      <c r="AD81" s="65"/>
      <c r="AE81" s="65"/>
      <c r="AF81" s="65"/>
      <c r="AG81" s="65"/>
      <c r="AH81" s="65"/>
      <c r="AI81" s="65"/>
      <c r="AJ81" s="65"/>
      <c r="AK81" s="65"/>
      <c r="AL81" s="65"/>
      <c r="AM81" s="65"/>
      <c r="AN81" s="65"/>
      <c r="AO81" s="76"/>
      <c r="AP81" s="62">
        <f t="shared" si="150"/>
        <v>491</v>
      </c>
      <c r="AQ81" s="63">
        <v>540</v>
      </c>
      <c r="AR81" s="64">
        <f t="shared" si="124"/>
        <v>0.91644048</v>
      </c>
      <c r="AS81" s="65">
        <f t="shared" si="125"/>
        <v>0.30862296</v>
      </c>
      <c r="AT81" s="65">
        <f t="shared" si="151"/>
        <v>0.30862296</v>
      </c>
      <c r="AU81" s="65">
        <f t="shared" si="152"/>
        <v>6.7897051200000003E-2</v>
      </c>
      <c r="AV81" s="65">
        <f t="shared" si="126"/>
        <v>0.73445763773561468</v>
      </c>
      <c r="AW81" s="65">
        <f t="shared" ref="AW81:AX85" si="154">SUM(AY81,BA81,BC81,BE81,BG81)</f>
        <v>0.26554144038721078</v>
      </c>
      <c r="AX81" s="65">
        <f t="shared" si="154"/>
        <v>6.5643340348730608E-2</v>
      </c>
      <c r="AY81" s="65">
        <f t="shared" si="127"/>
        <v>0.2266704901525731</v>
      </c>
      <c r="AZ81" s="65">
        <f t="shared" si="128"/>
        <v>6.3440061950686272E-2</v>
      </c>
      <c r="BA81" s="65">
        <f t="shared" si="129"/>
        <v>3.4977858807768977E-2</v>
      </c>
      <c r="BB81" s="65">
        <f t="shared" si="130"/>
        <v>2.1536965671984589E-3</v>
      </c>
      <c r="BC81" s="65">
        <f t="shared" si="131"/>
        <v>3.5983234399052447E-3</v>
      </c>
      <c r="BD81" s="65">
        <f t="shared" si="132"/>
        <v>4.8743215364112663E-5</v>
      </c>
      <c r="BE81" s="65">
        <f t="shared" si="133"/>
        <v>2.7763130776523466E-4</v>
      </c>
      <c r="BF81" s="65">
        <f t="shared" si="134"/>
        <v>8.2738014730744616E-7</v>
      </c>
      <c r="BG81" s="65">
        <f t="shared" si="135"/>
        <v>1.7136679198235539E-5</v>
      </c>
      <c r="BH81" s="65">
        <f t="shared" si="136"/>
        <v>1.123533444471944E-8</v>
      </c>
    </row>
    <row r="82" spans="1:60" x14ac:dyDescent="0.3">
      <c r="A82" s="38"/>
      <c r="B82" s="62">
        <f t="shared" si="137"/>
        <v>4172</v>
      </c>
      <c r="C82" s="63">
        <v>570</v>
      </c>
      <c r="D82" s="64">
        <f t="shared" si="103"/>
        <v>1.0210957199999999</v>
      </c>
      <c r="E82" s="65">
        <f t="shared" si="104"/>
        <v>1.2192362174699485</v>
      </c>
      <c r="F82" s="65">
        <f t="shared" si="138"/>
        <v>1.2192362174699485</v>
      </c>
      <c r="G82" s="65">
        <f t="shared" si="139"/>
        <v>0.26823196784338865</v>
      </c>
      <c r="H82" s="65">
        <f t="shared" si="105"/>
        <v>0.29545574470307223</v>
      </c>
      <c r="I82" s="65"/>
      <c r="J82" s="65"/>
      <c r="K82" s="65"/>
      <c r="L82" s="65"/>
      <c r="M82" s="65"/>
      <c r="N82" s="65"/>
      <c r="O82" s="65"/>
      <c r="P82" s="65"/>
      <c r="Q82" s="65"/>
      <c r="R82" s="65"/>
      <c r="S82" s="65"/>
      <c r="T82" s="65"/>
      <c r="U82" s="76"/>
      <c r="V82" s="62"/>
      <c r="W82" s="63"/>
      <c r="X82" s="86"/>
      <c r="Y82" s="65"/>
      <c r="Z82" s="65"/>
      <c r="AA82" s="65"/>
      <c r="AB82" s="65"/>
      <c r="AC82" s="65"/>
      <c r="AD82" s="65"/>
      <c r="AE82" s="65"/>
      <c r="AF82" s="65"/>
      <c r="AG82" s="65"/>
      <c r="AH82" s="65"/>
      <c r="AI82" s="65"/>
      <c r="AJ82" s="65"/>
      <c r="AK82" s="65"/>
      <c r="AL82" s="65"/>
      <c r="AM82" s="65"/>
      <c r="AN82" s="65"/>
      <c r="AO82" s="76"/>
      <c r="AP82" s="62">
        <f t="shared" si="150"/>
        <v>491</v>
      </c>
      <c r="AQ82" s="63">
        <v>570</v>
      </c>
      <c r="AR82" s="64">
        <f t="shared" si="124"/>
        <v>1.0210957199999999</v>
      </c>
      <c r="AS82" s="65">
        <f t="shared" si="125"/>
        <v>0.34386694000000001</v>
      </c>
      <c r="AT82" s="65">
        <f t="shared" si="151"/>
        <v>0.34386694000000001</v>
      </c>
      <c r="AU82" s="65">
        <f t="shared" si="152"/>
        <v>7.5650726800000012E-2</v>
      </c>
      <c r="AV82" s="65">
        <f t="shared" si="126"/>
        <v>0.70902326440873575</v>
      </c>
      <c r="AW82" s="65">
        <f t="shared" si="154"/>
        <v>0.29097502398052388</v>
      </c>
      <c r="AX82" s="65">
        <f t="shared" si="154"/>
        <v>7.2860024595776729E-2</v>
      </c>
      <c r="AY82" s="65">
        <f t="shared" si="127"/>
        <v>0.24380966032104287</v>
      </c>
      <c r="AZ82" s="65">
        <f t="shared" si="128"/>
        <v>7.013881296620425E-2</v>
      </c>
      <c r="BA82" s="65">
        <f t="shared" si="129"/>
        <v>4.1919040918518218E-2</v>
      </c>
      <c r="BB82" s="65">
        <f t="shared" si="130"/>
        <v>2.6530260888913077E-3</v>
      </c>
      <c r="BC82" s="65">
        <f t="shared" si="131"/>
        <v>4.8048574427952163E-3</v>
      </c>
      <c r="BD82" s="65">
        <f t="shared" si="132"/>
        <v>6.6901117281329615E-5</v>
      </c>
      <c r="BE82" s="65">
        <f t="shared" si="133"/>
        <v>4.1305790649755404E-4</v>
      </c>
      <c r="BF82" s="65">
        <f t="shared" si="134"/>
        <v>1.2652795365161568E-6</v>
      </c>
      <c r="BG82" s="65">
        <f t="shared" si="135"/>
        <v>2.8407391670024007E-5</v>
      </c>
      <c r="BH82" s="65">
        <f t="shared" si="136"/>
        <v>1.9143863308522882E-8</v>
      </c>
    </row>
    <row r="83" spans="1:60" x14ac:dyDescent="0.3">
      <c r="A83" s="38"/>
      <c r="B83" s="62">
        <f t="shared" si="137"/>
        <v>4172</v>
      </c>
      <c r="C83" s="63">
        <v>600</v>
      </c>
      <c r="D83" s="64">
        <f t="shared" si="103"/>
        <v>1.131408</v>
      </c>
      <c r="E83" s="65">
        <f t="shared" si="104"/>
        <v>1.3509542575844304</v>
      </c>
      <c r="F83" s="65">
        <f t="shared" si="138"/>
        <v>1.3509542575844304</v>
      </c>
      <c r="G83" s="65">
        <f t="shared" si="139"/>
        <v>0.29720993666857476</v>
      </c>
      <c r="H83" s="65">
        <f t="shared" si="105"/>
        <v>0.25899299665651243</v>
      </c>
      <c r="I83" s="65"/>
      <c r="J83" s="65"/>
      <c r="K83" s="65"/>
      <c r="L83" s="65"/>
      <c r="M83" s="65"/>
      <c r="N83" s="65"/>
      <c r="O83" s="65"/>
      <c r="P83" s="65"/>
      <c r="Q83" s="65"/>
      <c r="R83" s="65"/>
      <c r="S83" s="65"/>
      <c r="T83" s="65"/>
      <c r="U83" s="76"/>
      <c r="V83" s="62"/>
      <c r="W83" s="63"/>
      <c r="X83" s="86"/>
      <c r="Y83" s="65"/>
      <c r="Z83" s="65"/>
      <c r="AA83" s="65"/>
      <c r="AB83" s="65"/>
      <c r="AC83" s="65"/>
      <c r="AD83" s="65"/>
      <c r="AE83" s="65"/>
      <c r="AF83" s="65"/>
      <c r="AG83" s="65"/>
      <c r="AH83" s="65"/>
      <c r="AI83" s="65"/>
      <c r="AJ83" s="65"/>
      <c r="AK83" s="65"/>
      <c r="AL83" s="65"/>
      <c r="AM83" s="65"/>
      <c r="AN83" s="65"/>
      <c r="AO83" s="76"/>
      <c r="AP83" s="62">
        <f t="shared" si="150"/>
        <v>491</v>
      </c>
      <c r="AQ83" s="63">
        <v>600</v>
      </c>
      <c r="AR83" s="64">
        <f t="shared" si="124"/>
        <v>1.131408</v>
      </c>
      <c r="AS83" s="65">
        <f t="shared" si="125"/>
        <v>0.38101600000000002</v>
      </c>
      <c r="AT83" s="65">
        <f t="shared" si="151"/>
        <v>0.38101600000000002</v>
      </c>
      <c r="AU83" s="65">
        <f t="shared" si="152"/>
        <v>8.3823519999999985E-2</v>
      </c>
      <c r="AV83" s="65">
        <f t="shared" si="126"/>
        <v>0.68316695886111212</v>
      </c>
      <c r="AW83" s="65">
        <f t="shared" si="154"/>
        <v>0.31682997222261122</v>
      </c>
      <c r="AX83" s="65">
        <f t="shared" si="154"/>
        <v>8.0406467909608814E-2</v>
      </c>
      <c r="AY83" s="65">
        <f t="shared" si="127"/>
        <v>0.2602975419974255</v>
      </c>
      <c r="AZ83" s="65">
        <f t="shared" si="128"/>
        <v>7.7083566791461583E-2</v>
      </c>
      <c r="BA83" s="65">
        <f t="shared" si="129"/>
        <v>4.9588764130845536E-2</v>
      </c>
      <c r="BB83" s="65">
        <f t="shared" si="130"/>
        <v>3.2307079513077073E-3</v>
      </c>
      <c r="BC83" s="65">
        <f t="shared" si="131"/>
        <v>6.2980375180260806E-3</v>
      </c>
      <c r="BD83" s="65">
        <f t="shared" si="132"/>
        <v>9.0269770856866863E-5</v>
      </c>
      <c r="BE83" s="65">
        <f t="shared" si="133"/>
        <v>5.9991326574205639E-4</v>
      </c>
      <c r="BF83" s="65">
        <f t="shared" si="134"/>
        <v>1.8916824857039989E-6</v>
      </c>
      <c r="BG83" s="65">
        <f t="shared" si="135"/>
        <v>4.5715310571995074E-5</v>
      </c>
      <c r="BH83" s="65">
        <f t="shared" si="136"/>
        <v>3.1713496934811766E-8</v>
      </c>
    </row>
    <row r="84" spans="1:60" x14ac:dyDescent="0.3">
      <c r="A84" s="38"/>
      <c r="B84" s="62">
        <f t="shared" si="137"/>
        <v>4172</v>
      </c>
      <c r="C84" s="63">
        <v>630</v>
      </c>
      <c r="D84" s="64">
        <f t="shared" si="103"/>
        <v>1.2473773199999998</v>
      </c>
      <c r="E84" s="65">
        <f t="shared" si="104"/>
        <v>1.4894270689868343</v>
      </c>
      <c r="F84" s="65">
        <f t="shared" si="138"/>
        <v>1.4894270689868343</v>
      </c>
      <c r="G84" s="65">
        <f t="shared" si="139"/>
        <v>0.32767395517710352</v>
      </c>
      <c r="H84" s="65">
        <f t="shared" si="105"/>
        <v>0.22550181551966289</v>
      </c>
      <c r="I84" s="65"/>
      <c r="J84" s="65"/>
      <c r="K84" s="65"/>
      <c r="L84" s="65"/>
      <c r="M84" s="65"/>
      <c r="N84" s="65"/>
      <c r="O84" s="65"/>
      <c r="P84" s="65"/>
      <c r="Q84" s="65"/>
      <c r="R84" s="65"/>
      <c r="S84" s="65"/>
      <c r="T84" s="65"/>
      <c r="U84" s="76"/>
      <c r="V84" s="62"/>
      <c r="W84" s="63"/>
      <c r="X84" s="86"/>
      <c r="Y84" s="65"/>
      <c r="Z84" s="65"/>
      <c r="AA84" s="65"/>
      <c r="AB84" s="65"/>
      <c r="AC84" s="65"/>
      <c r="AD84" s="65"/>
      <c r="AE84" s="65"/>
      <c r="AF84" s="65"/>
      <c r="AG84" s="65"/>
      <c r="AH84" s="65"/>
      <c r="AI84" s="65"/>
      <c r="AJ84" s="65"/>
      <c r="AK84" s="65"/>
      <c r="AL84" s="65"/>
      <c r="AM84" s="65"/>
      <c r="AN84" s="65"/>
      <c r="AO84" s="76"/>
      <c r="AP84" s="62">
        <f t="shared" si="150"/>
        <v>491</v>
      </c>
      <c r="AQ84" s="73">
        <v>630</v>
      </c>
      <c r="AR84" s="64">
        <f t="shared" si="124"/>
        <v>1.2473773199999998</v>
      </c>
      <c r="AS84" s="65">
        <f t="shared" si="125"/>
        <v>0.42007013999999993</v>
      </c>
      <c r="AT84" s="65">
        <f t="shared" si="151"/>
        <v>0.42007013999999993</v>
      </c>
      <c r="AU84" s="65">
        <f t="shared" si="152"/>
        <v>9.2415430799999976E-2</v>
      </c>
      <c r="AV84" s="65">
        <f t="shared" si="126"/>
        <v>0.65700073616728738</v>
      </c>
      <c r="AW84" s="65">
        <f t="shared" si="154"/>
        <v>0.34299393262022021</v>
      </c>
      <c r="AX84" s="74">
        <f t="shared" si="154"/>
        <v>8.827368753156542E-2</v>
      </c>
      <c r="AY84" s="65">
        <f t="shared" si="127"/>
        <v>0.27598639122189544</v>
      </c>
      <c r="AZ84" s="65">
        <f t="shared" si="128"/>
        <v>8.4257579864589385E-2</v>
      </c>
      <c r="BA84" s="65">
        <f t="shared" si="129"/>
        <v>5.7966820999338177E-2</v>
      </c>
      <c r="BB84" s="65">
        <f t="shared" si="130"/>
        <v>3.8933502706757165E-3</v>
      </c>
      <c r="BC84" s="65">
        <f t="shared" si="131"/>
        <v>8.1167102041823074E-3</v>
      </c>
      <c r="BD84" s="65">
        <f t="shared" si="132"/>
        <v>1.1993521417326428E-4</v>
      </c>
      <c r="BE84" s="65">
        <f t="shared" si="133"/>
        <v>8.5239689795257249E-4</v>
      </c>
      <c r="BF84" s="65">
        <f t="shared" si="134"/>
        <v>2.7709661214781205E-6</v>
      </c>
      <c r="BG84" s="65">
        <f t="shared" si="135"/>
        <v>7.1613296851700563E-5</v>
      </c>
      <c r="BH84" s="65">
        <f t="shared" si="136"/>
        <v>5.1216005569721109E-8</v>
      </c>
    </row>
    <row r="85" spans="1:60" x14ac:dyDescent="0.3">
      <c r="A85" s="38"/>
      <c r="B85" s="62">
        <f t="shared" si="137"/>
        <v>4172</v>
      </c>
      <c r="C85" s="63">
        <v>660</v>
      </c>
      <c r="D85" s="64">
        <f t="shared" si="103"/>
        <v>1.3690036799999998</v>
      </c>
      <c r="E85" s="65">
        <f t="shared" si="104"/>
        <v>1.6346546516771607</v>
      </c>
      <c r="F85" s="65">
        <f t="shared" si="138"/>
        <v>1.6346546516771607</v>
      </c>
      <c r="G85" s="65">
        <f t="shared" si="139"/>
        <v>0.35962402336897537</v>
      </c>
      <c r="H85" s="65">
        <f t="shared" si="105"/>
        <v>0.19501970940052513</v>
      </c>
      <c r="I85" s="65"/>
      <c r="J85" s="65"/>
      <c r="K85" s="65"/>
      <c r="L85" s="65"/>
      <c r="M85" s="65"/>
      <c r="N85" s="65"/>
      <c r="O85" s="65"/>
      <c r="P85" s="65"/>
      <c r="Q85" s="65"/>
      <c r="R85" s="65"/>
      <c r="S85" s="65"/>
      <c r="T85" s="65"/>
      <c r="U85" s="76"/>
      <c r="V85" s="62"/>
      <c r="W85" s="63"/>
      <c r="X85" s="86"/>
      <c r="Y85" s="65"/>
      <c r="Z85" s="65"/>
      <c r="AA85" s="65"/>
      <c r="AB85" s="65"/>
      <c r="AC85" s="65"/>
      <c r="AD85" s="65"/>
      <c r="AE85" s="65"/>
      <c r="AF85" s="65"/>
      <c r="AG85" s="65"/>
      <c r="AH85" s="65"/>
      <c r="AI85" s="65"/>
      <c r="AJ85" s="65"/>
      <c r="AK85" s="65"/>
      <c r="AL85" s="65"/>
      <c r="AM85" s="65"/>
      <c r="AN85" s="65"/>
      <c r="AO85" s="76"/>
      <c r="AP85" s="62">
        <f t="shared" si="150"/>
        <v>491</v>
      </c>
      <c r="AQ85" s="63">
        <v>660</v>
      </c>
      <c r="AR85" s="64">
        <f t="shared" si="124"/>
        <v>1.3690036799999998</v>
      </c>
      <c r="AS85" s="65">
        <f t="shared" si="125"/>
        <v>0.46102935999999989</v>
      </c>
      <c r="AT85" s="65">
        <f t="shared" si="151"/>
        <v>0.46102935999999989</v>
      </c>
      <c r="AU85" s="65">
        <f t="shared" si="152"/>
        <v>0.10142645919999999</v>
      </c>
      <c r="AV85" s="65">
        <f t="shared" si="126"/>
        <v>0.6306341617072575</v>
      </c>
      <c r="AW85" s="65">
        <f t="shared" si="154"/>
        <v>0.36935684034015553</v>
      </c>
      <c r="AX85" s="65">
        <f t="shared" si="154"/>
        <v>9.6452374099592703E-2</v>
      </c>
      <c r="AY85" s="65">
        <f t="shared" si="127"/>
        <v>0.29074086396603338</v>
      </c>
      <c r="AZ85" s="65">
        <f t="shared" si="128"/>
        <v>9.1643636273038301E-2</v>
      </c>
      <c r="BA85" s="65">
        <f t="shared" si="129"/>
        <v>6.7020037220053688E-2</v>
      </c>
      <c r="BB85" s="65">
        <f t="shared" si="130"/>
        <v>4.6475447676934799E-3</v>
      </c>
      <c r="BC85" s="65">
        <f t="shared" si="131"/>
        <v>1.0299401622245843E-2</v>
      </c>
      <c r="BD85" s="65">
        <f t="shared" si="132"/>
        <v>1.5712800325354539E-4</v>
      </c>
      <c r="BE85" s="65">
        <f t="shared" si="133"/>
        <v>1.1870816345717402E-3</v>
      </c>
      <c r="BF85" s="65">
        <f t="shared" si="134"/>
        <v>3.9842342527932964E-6</v>
      </c>
      <c r="BG85" s="65">
        <f t="shared" si="135"/>
        <v>1.0945589725087263E-4</v>
      </c>
      <c r="BH85" s="65">
        <f t="shared" si="136"/>
        <v>8.0821354576836352E-8</v>
      </c>
    </row>
    <row r="86" spans="1:60" ht="15" thickBot="1" x14ac:dyDescent="0.35">
      <c r="B86" s="62">
        <f t="shared" si="137"/>
        <v>4172</v>
      </c>
      <c r="C86" s="63">
        <v>690</v>
      </c>
      <c r="D86" s="64">
        <f t="shared" si="103"/>
        <v>1.4962870799999999</v>
      </c>
      <c r="E86" s="65">
        <f t="shared" si="104"/>
        <v>1.7866370056554091</v>
      </c>
      <c r="F86" s="65">
        <f t="shared" si="138"/>
        <v>1.7866370056554091</v>
      </c>
      <c r="G86" s="65">
        <f t="shared" si="139"/>
        <v>0.39306014124418986</v>
      </c>
      <c r="H86" s="65">
        <f t="shared" si="105"/>
        <v>0.1675226009699696</v>
      </c>
    </row>
    <row r="87" spans="1:60" ht="15.6" x14ac:dyDescent="0.3">
      <c r="B87" s="62">
        <f t="shared" si="137"/>
        <v>4172</v>
      </c>
      <c r="C87" s="63">
        <v>720</v>
      </c>
      <c r="D87" s="64">
        <f t="shared" si="103"/>
        <v>1.6292275199999999</v>
      </c>
      <c r="E87" s="65">
        <f t="shared" si="104"/>
        <v>1.9453741309215797</v>
      </c>
      <c r="F87" s="65">
        <f t="shared" si="138"/>
        <v>1.9453741309215797</v>
      </c>
      <c r="G87" s="65">
        <f t="shared" si="139"/>
        <v>0.42798230880274746</v>
      </c>
      <c r="H87" s="65">
        <f t="shared" si="105"/>
        <v>0.14293373740244636</v>
      </c>
      <c r="U87" s="1389" t="s">
        <v>390</v>
      </c>
      <c r="V87" s="1390"/>
      <c r="W87" s="1390"/>
      <c r="X87" s="1390"/>
      <c r="Y87" s="1390"/>
      <c r="Z87" s="1390"/>
      <c r="AA87" s="1390"/>
      <c r="AB87" s="1390"/>
      <c r="AC87" s="1390"/>
      <c r="AD87" s="1390"/>
      <c r="AE87" s="1390"/>
      <c r="AF87" s="1390"/>
      <c r="AG87" s="1390"/>
      <c r="AH87" s="1390"/>
      <c r="AI87" s="1390"/>
      <c r="AJ87" s="1390"/>
      <c r="AK87" s="1390"/>
      <c r="AL87" s="1390"/>
      <c r="AM87" s="1390"/>
      <c r="AN87" s="1391"/>
    </row>
    <row r="88" spans="1:60" ht="80.400000000000006" thickBot="1" x14ac:dyDescent="0.35">
      <c r="B88" s="62">
        <f t="shared" si="137"/>
        <v>4172</v>
      </c>
      <c r="C88" s="63">
        <v>750</v>
      </c>
      <c r="D88" s="64">
        <f t="shared" si="103"/>
        <v>1.767825</v>
      </c>
      <c r="E88" s="65">
        <f t="shared" si="104"/>
        <v>2.1108660274756725</v>
      </c>
      <c r="F88" s="65">
        <f t="shared" si="138"/>
        <v>2.1108660274756725</v>
      </c>
      <c r="G88" s="65">
        <f t="shared" si="139"/>
        <v>0.46439052604464792</v>
      </c>
      <c r="H88" s="65">
        <f t="shared" si="105"/>
        <v>0.12113301647468899</v>
      </c>
      <c r="U88" s="57"/>
      <c r="V88" s="58" t="s">
        <v>362</v>
      </c>
      <c r="W88" s="58" t="s">
        <v>363</v>
      </c>
      <c r="X88" s="59" t="s">
        <v>364</v>
      </c>
      <c r="Y88" s="57" t="s">
        <v>365</v>
      </c>
      <c r="Z88" s="52" t="s">
        <v>366</v>
      </c>
      <c r="AA88" s="52" t="s">
        <v>367</v>
      </c>
      <c r="AB88" s="60" t="s">
        <v>368</v>
      </c>
      <c r="AC88" s="57" t="s">
        <v>369</v>
      </c>
      <c r="AD88" s="57" t="s">
        <v>370</v>
      </c>
      <c r="AE88" s="60" t="s">
        <v>371</v>
      </c>
      <c r="AF88" s="60" t="s">
        <v>372</v>
      </c>
      <c r="AG88" s="60" t="s">
        <v>373</v>
      </c>
      <c r="AH88" s="60" t="s">
        <v>374</v>
      </c>
      <c r="AI88" s="60" t="s">
        <v>375</v>
      </c>
      <c r="AJ88" s="60" t="s">
        <v>376</v>
      </c>
      <c r="AK88" s="60" t="s">
        <v>377</v>
      </c>
      <c r="AL88" s="60" t="s">
        <v>378</v>
      </c>
      <c r="AM88" s="60" t="s">
        <v>379</v>
      </c>
      <c r="AN88" s="94" t="s">
        <v>380</v>
      </c>
    </row>
    <row r="89" spans="1:60" ht="15" thickTop="1" x14ac:dyDescent="0.3">
      <c r="B89" s="62">
        <f t="shared" si="137"/>
        <v>4172</v>
      </c>
      <c r="C89" s="63">
        <v>780</v>
      </c>
      <c r="D89" s="64">
        <f t="shared" si="103"/>
        <v>1.9120795199999998</v>
      </c>
      <c r="E89" s="65">
        <f t="shared" si="104"/>
        <v>2.283112695317687</v>
      </c>
      <c r="F89" s="65">
        <f t="shared" si="138"/>
        <v>2.283112695317687</v>
      </c>
      <c r="G89" s="65">
        <f t="shared" si="139"/>
        <v>0.50228479296989104</v>
      </c>
      <c r="H89" s="65">
        <f t="shared" si="105"/>
        <v>0.1019663221397978</v>
      </c>
      <c r="U89" s="68"/>
      <c r="V89" s="62">
        <f>ROUNDUP(($F$4/$O$13),0)</f>
        <v>974</v>
      </c>
      <c r="W89" s="63">
        <v>30</v>
      </c>
      <c r="X89" s="64">
        <f t="shared" ref="X89:X105" si="155">((W89^2)*3.1428)/1000000</f>
        <v>2.8285200000000002E-3</v>
      </c>
      <c r="Y89" s="65">
        <f>(V89/(1197/$X89))</f>
        <v>2.3015693233082706E-3</v>
      </c>
      <c r="Z89" s="65">
        <f>1*$Y89</f>
        <v>2.3015693233082706E-3</v>
      </c>
      <c r="AA89" s="65">
        <f>1*($Y89-($Y89*0.78))</f>
        <v>5.0634525112781955E-4</v>
      </c>
      <c r="AB89" s="65">
        <f t="shared" ref="AB89:AB105" si="156">EXP(-$Z89)</f>
        <v>0.99770107725654833</v>
      </c>
      <c r="AC89" s="65">
        <f>SUM(AE89,AG89,AI89,AK89,AM89)</f>
        <v>2.298922743451648E-3</v>
      </c>
      <c r="AD89" s="65">
        <f>SUM(AF89,AH89,AJ89,AL89,AN89)</f>
        <v>5.0621708000500901E-4</v>
      </c>
      <c r="AE89" s="65">
        <f t="shared" ref="AE89:AE105" si="157">EXP(-$Z89)*POWER($Z89,1)</f>
        <v>2.2962781932452866E-3</v>
      </c>
      <c r="AF89" s="65">
        <f>EXP(-$AA89)*POWER($AA89,1)</f>
        <v>5.060889305133192E-4</v>
      </c>
      <c r="AG89" s="65">
        <f t="shared" ref="AG89:AG105" si="158">EXP(-$Z89)*POWER($Z89,2)/FACT(2)</f>
        <v>2.6425217236775461E-6</v>
      </c>
      <c r="AH89" s="65">
        <f>EXP(-$AA89)*POWER($AA89,2)/FACT(2)</f>
        <v>1.2812786330688811E-7</v>
      </c>
      <c r="AI89" s="65">
        <f t="shared" ref="AI89:AI105" si="159">EXP(-$Z89)*POWER($Z89,3)/FACT(3)</f>
        <v>2.0273156451306448E-9</v>
      </c>
      <c r="AJ89" s="65">
        <f>EXP(-$AA89)*POWER($AA89,3)/FACT(3)</f>
        <v>2.1625645040865731E-11</v>
      </c>
      <c r="AK89" s="65">
        <f t="shared" ref="AK89:AK105" si="160">EXP(-$Z89)*POWER($Z89,4)/FACT(4)</f>
        <v>1.1665018743739022E-12</v>
      </c>
      <c r="AL89" s="65">
        <f>EXP(-$AA89)*POWER($AA89,4)/FACT(4)</f>
        <v>2.7375106672545614E-15</v>
      </c>
      <c r="AM89" s="65">
        <f t="shared" ref="AM89:AM105" si="161">EXP(-$Z89)*POWER($Z89,5)/FACT(5)</f>
        <v>5.3695698592811438E-16</v>
      </c>
      <c r="AN89" s="95">
        <f>EXP(-$AA89)*POWER($AA89,5)/FACT(5)</f>
        <v>2.7722510525521914E-19</v>
      </c>
    </row>
    <row r="90" spans="1:60" x14ac:dyDescent="0.3">
      <c r="B90" s="62">
        <f t="shared" si="137"/>
        <v>4172</v>
      </c>
      <c r="C90" s="63">
        <v>810</v>
      </c>
      <c r="D90" s="64">
        <f t="shared" si="103"/>
        <v>2.0619910799999999</v>
      </c>
      <c r="E90" s="65">
        <f t="shared" si="104"/>
        <v>2.4621141344476243</v>
      </c>
      <c r="F90" s="65">
        <f t="shared" si="138"/>
        <v>2.4621141344476243</v>
      </c>
      <c r="G90" s="65">
        <f t="shared" si="139"/>
        <v>0.54166510957847724</v>
      </c>
      <c r="H90" s="65">
        <f t="shared" si="105"/>
        <v>8.5254520788482044E-2</v>
      </c>
      <c r="U90" s="68"/>
      <c r="V90" s="62">
        <f t="shared" ref="V90:V105" si="162">ROUNDUP(($F$4/$O$13),0)</f>
        <v>974</v>
      </c>
      <c r="W90" s="63">
        <v>60</v>
      </c>
      <c r="X90" s="64">
        <f t="shared" si="155"/>
        <v>1.1314080000000001E-2</v>
      </c>
      <c r="Y90" s="65">
        <f t="shared" ref="Y90:Y105" si="163">(V90/(1197/$X90))</f>
        <v>9.2062772932330825E-3</v>
      </c>
      <c r="Z90" s="65">
        <f t="shared" ref="Z90:Z105" si="164">1*$Y90</f>
        <v>9.2062772932330825E-3</v>
      </c>
      <c r="AA90" s="65">
        <f t="shared" ref="AA90:AA105" si="165">1*($Y90-($Y90*0.78))</f>
        <v>2.0253810045112782E-3</v>
      </c>
      <c r="AB90" s="65">
        <f t="shared" si="156"/>
        <v>0.99083597072915952</v>
      </c>
      <c r="AC90" s="65">
        <f t="shared" ref="AC90:AD103" si="166">SUM(AE90,AG90,AI90,AK90,AM90)</f>
        <v>9.1640292708396673E-3</v>
      </c>
      <c r="AD90" s="65">
        <f t="shared" si="166"/>
        <v>2.02333130444595E-3</v>
      </c>
      <c r="AE90" s="65">
        <f t="shared" si="157"/>
        <v>9.1219106986424204E-3</v>
      </c>
      <c r="AF90" s="65">
        <f t="shared" ref="AF90:AF105" si="167">EXP(-$AA90)*POWER($AA90,1)</f>
        <v>2.0212829877214204E-3</v>
      </c>
      <c r="AG90" s="65">
        <f t="shared" si="158"/>
        <v>4.1989419667905821E-5</v>
      </c>
      <c r="AH90" s="65">
        <f t="shared" ref="AH90:AH105" si="168">EXP(-$AA90)*POWER($AA90,2)/FACT(2)</f>
        <v>2.0469340840363837E-6</v>
      </c>
      <c r="AI90" s="65">
        <f t="shared" si="159"/>
        <v>1.2885541361489199E-7</v>
      </c>
      <c r="AJ90" s="65">
        <f t="shared" ref="AJ90:AJ105" si="169">EXP(-$AA90)*POWER($AA90,3)/FACT(3)</f>
        <v>1.3819404704313279E-9</v>
      </c>
      <c r="AK90" s="65">
        <f t="shared" si="160"/>
        <v>2.9656966711823429E-10</v>
      </c>
      <c r="AL90" s="65">
        <f t="shared" ref="AL90:AL105" si="170">EXP(-$AA90)*POWER($AA90,4)/FACT(4)</f>
        <v>6.9973899454424801E-13</v>
      </c>
      <c r="AM90" s="65">
        <f t="shared" si="161"/>
        <v>5.4606051845045883E-13</v>
      </c>
      <c r="AN90" s="95">
        <f t="shared" ref="AN90:AN105" si="171">EXP(-$AA90)*POWER($AA90,5)/FACT(5)</f>
        <v>2.8344761353314809E-16</v>
      </c>
    </row>
    <row r="91" spans="1:60" x14ac:dyDescent="0.3">
      <c r="B91" s="62">
        <f t="shared" si="137"/>
        <v>4172</v>
      </c>
      <c r="C91" s="63">
        <v>840</v>
      </c>
      <c r="D91" s="64">
        <f t="shared" si="103"/>
        <v>2.2175596799999999</v>
      </c>
      <c r="E91" s="65">
        <f t="shared" si="104"/>
        <v>2.6478703448654834</v>
      </c>
      <c r="F91" s="65">
        <f t="shared" si="138"/>
        <v>2.6478703448654834</v>
      </c>
      <c r="G91" s="65">
        <f t="shared" si="139"/>
        <v>0.5825314758704061</v>
      </c>
      <c r="H91" s="65">
        <f t="shared" si="105"/>
        <v>7.0801836109730343E-2</v>
      </c>
      <c r="U91" s="68"/>
      <c r="V91" s="62">
        <f t="shared" si="162"/>
        <v>974</v>
      </c>
      <c r="W91" s="63">
        <v>90</v>
      </c>
      <c r="X91" s="64">
        <f t="shared" si="155"/>
        <v>2.5456679999999999E-2</v>
      </c>
      <c r="Y91" s="65">
        <f t="shared" si="163"/>
        <v>2.0714123909774434E-2</v>
      </c>
      <c r="Z91" s="65">
        <f t="shared" si="164"/>
        <v>2.0714123909774434E-2</v>
      </c>
      <c r="AA91" s="65">
        <f t="shared" si="165"/>
        <v>4.5571072601503747E-3</v>
      </c>
      <c r="AB91" s="65">
        <f t="shared" si="156"/>
        <v>0.97949893987574166</v>
      </c>
      <c r="AC91" s="65">
        <f t="shared" si="166"/>
        <v>2.0501060124150577E-2</v>
      </c>
      <c r="AD91" s="65">
        <f t="shared" si="166"/>
        <v>4.5467394019864027E-3</v>
      </c>
      <c r="AE91" s="65">
        <f t="shared" si="157"/>
        <v>2.0289462410078812E-2</v>
      </c>
      <c r="AF91" s="65">
        <f t="shared" si="167"/>
        <v>4.5363872810115701E-3</v>
      </c>
      <c r="AG91" s="65">
        <f t="shared" si="158"/>
        <v>2.1013921921254154E-4</v>
      </c>
      <c r="AH91" s="65">
        <f t="shared" si="168"/>
        <v>1.0336401706575822E-5</v>
      </c>
      <c r="AI91" s="65">
        <f t="shared" si="159"/>
        <v>1.4509499416906126E-6</v>
      </c>
      <c r="AJ91" s="65">
        <f t="shared" si="169"/>
        <v>1.5701363753622468E-8</v>
      </c>
      <c r="AK91" s="65">
        <f t="shared" si="160"/>
        <v>7.5137892197648348E-9</v>
      </c>
      <c r="AL91" s="65">
        <f t="shared" si="170"/>
        <v>1.7888199688973721E-11</v>
      </c>
      <c r="AM91" s="65">
        <f t="shared" si="161"/>
        <v>3.1128312186027228E-11</v>
      </c>
      <c r="AN91" s="95">
        <f t="shared" si="171"/>
        <v>1.6303688934728367E-14</v>
      </c>
    </row>
    <row r="92" spans="1:60" x14ac:dyDescent="0.3">
      <c r="B92" s="62">
        <f t="shared" si="137"/>
        <v>4172</v>
      </c>
      <c r="C92" s="63">
        <v>870</v>
      </c>
      <c r="D92" s="64">
        <f t="shared" si="103"/>
        <v>2.37878532</v>
      </c>
      <c r="E92" s="65">
        <f t="shared" si="104"/>
        <v>2.840381326571265</v>
      </c>
      <c r="F92" s="65">
        <f t="shared" si="138"/>
        <v>2.840381326571265</v>
      </c>
      <c r="G92" s="65">
        <f t="shared" si="139"/>
        <v>0.62488389184567827</v>
      </c>
      <c r="H92" s="65">
        <f t="shared" si="105"/>
        <v>5.8403390952921519E-2</v>
      </c>
      <c r="U92" s="38"/>
      <c r="V92" s="62">
        <f t="shared" si="162"/>
        <v>974</v>
      </c>
      <c r="W92" s="63">
        <v>120</v>
      </c>
      <c r="X92" s="64">
        <f t="shared" si="155"/>
        <v>4.5256320000000003E-2</v>
      </c>
      <c r="Y92" s="65">
        <f t="shared" si="163"/>
        <v>3.682510917293233E-2</v>
      </c>
      <c r="Z92" s="65">
        <f t="shared" si="164"/>
        <v>3.682510917293233E-2</v>
      </c>
      <c r="AA92" s="65">
        <f t="shared" si="165"/>
        <v>8.1015240180451129E-3</v>
      </c>
      <c r="AB92" s="65">
        <f t="shared" si="156"/>
        <v>0.96384468820413449</v>
      </c>
      <c r="AC92" s="65">
        <f t="shared" si="166"/>
        <v>3.6155311792509429E-2</v>
      </c>
      <c r="AD92" s="65">
        <f t="shared" si="166"/>
        <v>8.0687951166361436E-3</v>
      </c>
      <c r="AE92" s="65">
        <f t="shared" si="157"/>
        <v>3.5493685868868176E-2</v>
      </c>
      <c r="AF92" s="65">
        <f t="shared" si="167"/>
        <v>8.0361544806109974E-3</v>
      </c>
      <c r="AG92" s="65">
        <f t="shared" si="158"/>
        <v>6.53529428535418E-4</v>
      </c>
      <c r="AH92" s="65">
        <f t="shared" si="168"/>
        <v>3.2552549268695417E-5</v>
      </c>
      <c r="AI92" s="65">
        <f t="shared" si="159"/>
        <v>8.0220975178469491E-6</v>
      </c>
      <c r="AJ92" s="65">
        <f t="shared" si="169"/>
        <v>8.7908419916310945E-8</v>
      </c>
      <c r="AK92" s="65">
        <f t="shared" si="160"/>
        <v>7.3853654222655841E-8</v>
      </c>
      <c r="AL92" s="65">
        <f t="shared" si="170"/>
        <v>1.7804804383509713E-10</v>
      </c>
      <c r="AM92" s="65">
        <f t="shared" si="161"/>
        <v>5.4393377591385918E-10</v>
      </c>
      <c r="AN92" s="95">
        <f t="shared" si="171"/>
        <v>2.8849210069919765E-13</v>
      </c>
    </row>
    <row r="93" spans="1:60" x14ac:dyDescent="0.3">
      <c r="B93" s="62">
        <f t="shared" si="137"/>
        <v>4172</v>
      </c>
      <c r="C93" s="63">
        <v>900</v>
      </c>
      <c r="D93" s="64">
        <f t="shared" si="103"/>
        <v>2.545668</v>
      </c>
      <c r="E93" s="65">
        <f t="shared" si="104"/>
        <v>3.0396470795649684</v>
      </c>
      <c r="F93" s="65">
        <f t="shared" si="138"/>
        <v>3.0396470795649684</v>
      </c>
      <c r="G93" s="65">
        <f t="shared" si="139"/>
        <v>0.6687223575042931</v>
      </c>
      <c r="H93" s="65">
        <f t="shared" si="105"/>
        <v>4.7851774383544342E-2</v>
      </c>
      <c r="U93" s="76"/>
      <c r="V93" s="62">
        <f t="shared" si="162"/>
        <v>974</v>
      </c>
      <c r="W93" s="63">
        <v>150</v>
      </c>
      <c r="X93" s="64">
        <f t="shared" si="155"/>
        <v>7.0712999999999998E-2</v>
      </c>
      <c r="Y93" s="65">
        <f t="shared" si="163"/>
        <v>5.753923308270676E-2</v>
      </c>
      <c r="Z93" s="65">
        <f t="shared" si="164"/>
        <v>5.753923308270676E-2</v>
      </c>
      <c r="AA93" s="65">
        <f t="shared" si="165"/>
        <v>1.2658631278195484E-2</v>
      </c>
      <c r="AB93" s="65">
        <f t="shared" si="156"/>
        <v>0.94408485030081446</v>
      </c>
      <c r="AC93" s="65">
        <f t="shared" si="166"/>
        <v>5.5915149651207308E-2</v>
      </c>
      <c r="AD93" s="65">
        <f t="shared" si="166"/>
        <v>1.2578847809933928E-2</v>
      </c>
      <c r="AE93" s="65">
        <f t="shared" si="157"/>
        <v>5.4321918251310886E-2</v>
      </c>
      <c r="AF93" s="65">
        <f t="shared" si="167"/>
        <v>1.2499400281864923E-2</v>
      </c>
      <c r="AG93" s="65">
        <f t="shared" si="158"/>
        <v>1.5628207578809595E-3</v>
      </c>
      <c r="AH93" s="65">
        <f t="shared" si="168"/>
        <v>7.9112649683350369E-5</v>
      </c>
      <c r="AI93" s="65">
        <f t="shared" si="159"/>
        <v>2.9974502618068322E-5</v>
      </c>
      <c r="AJ93" s="65">
        <f t="shared" si="169"/>
        <v>3.3381928726086033E-7</v>
      </c>
      <c r="AK93" s="65">
        <f t="shared" si="160"/>
        <v>4.3117747316980921E-7</v>
      </c>
      <c r="AL93" s="65">
        <f t="shared" si="170"/>
        <v>1.0564238177463125E-9</v>
      </c>
      <c r="AM93" s="65">
        <f t="shared" si="161"/>
        <v>4.9619242257460386E-9</v>
      </c>
      <c r="AN93" s="95">
        <f t="shared" si="171"/>
        <v>2.674575916470831E-12</v>
      </c>
    </row>
    <row r="94" spans="1:60" x14ac:dyDescent="0.3">
      <c r="B94" s="62">
        <f t="shared" si="137"/>
        <v>4172</v>
      </c>
      <c r="C94" s="63">
        <v>930</v>
      </c>
      <c r="D94" s="64">
        <f t="shared" si="103"/>
        <v>2.7182077199999997</v>
      </c>
      <c r="E94" s="65">
        <f t="shared" si="104"/>
        <v>3.2456676038465937</v>
      </c>
      <c r="F94" s="65">
        <f t="shared" si="138"/>
        <v>3.2456676038465937</v>
      </c>
      <c r="G94" s="65">
        <f t="shared" si="139"/>
        <v>0.71404687284625057</v>
      </c>
      <c r="H94" s="65">
        <f t="shared" si="105"/>
        <v>3.8942557475937049E-2</v>
      </c>
      <c r="U94" s="76"/>
      <c r="V94" s="62">
        <f t="shared" si="162"/>
        <v>974</v>
      </c>
      <c r="W94" s="63">
        <v>180</v>
      </c>
      <c r="X94" s="64">
        <f t="shared" si="155"/>
        <v>0.10182672</v>
      </c>
      <c r="Y94" s="65">
        <f t="shared" si="163"/>
        <v>8.2856495639097735E-2</v>
      </c>
      <c r="Z94" s="65">
        <f t="shared" si="164"/>
        <v>8.2856495639097735E-2</v>
      </c>
      <c r="AA94" s="65">
        <f t="shared" si="165"/>
        <v>1.8228429040601499E-2</v>
      </c>
      <c r="AB94" s="65">
        <f t="shared" si="156"/>
        <v>0.92048323110039199</v>
      </c>
      <c r="AC94" s="65">
        <f t="shared" si="166"/>
        <v>7.9516768481001282E-2</v>
      </c>
      <c r="AD94" s="65">
        <f t="shared" si="166"/>
        <v>1.8063296121441742E-2</v>
      </c>
      <c r="AE94" s="65">
        <f t="shared" si="157"/>
        <v>7.6268014823532224E-2</v>
      </c>
      <c r="AF94" s="65">
        <f t="shared" si="167"/>
        <v>1.7899163529011511E-2</v>
      </c>
      <c r="AG94" s="65">
        <f t="shared" si="158"/>
        <v>3.1596502188143195E-3</v>
      </c>
      <c r="AH94" s="65">
        <f t="shared" si="168"/>
        <v>1.6313681613735432E-4</v>
      </c>
      <c r="AI94" s="65">
        <f t="shared" si="159"/>
        <v>8.7265848192087623E-5</v>
      </c>
      <c r="AJ94" s="65">
        <f t="shared" si="169"/>
        <v>9.9124262562313892E-7</v>
      </c>
      <c r="AK94" s="65">
        <f t="shared" si="160"/>
        <v>1.8076355925424679E-6</v>
      </c>
      <c r="AL94" s="65">
        <f t="shared" si="170"/>
        <v>4.5171989657977259E-9</v>
      </c>
      <c r="AM94" s="65">
        <f t="shared" si="161"/>
        <v>2.9954870118114566E-8</v>
      </c>
      <c r="AN94" s="95">
        <f t="shared" si="171"/>
        <v>1.6468288162064466E-11</v>
      </c>
    </row>
    <row r="95" spans="1:60" x14ac:dyDescent="0.3">
      <c r="B95" s="62">
        <f t="shared" si="137"/>
        <v>4172</v>
      </c>
      <c r="C95" s="63">
        <v>960</v>
      </c>
      <c r="D95" s="64">
        <f t="shared" si="103"/>
        <v>2.8964044800000002</v>
      </c>
      <c r="E95" s="65">
        <f t="shared" si="104"/>
        <v>3.4584428994161422</v>
      </c>
      <c r="F95" s="65">
        <f t="shared" si="138"/>
        <v>3.4584428994161422</v>
      </c>
      <c r="G95" s="65">
        <f t="shared" si="139"/>
        <v>0.76085743787155113</v>
      </c>
      <c r="H95" s="65">
        <f t="shared" si="105"/>
        <v>3.1478739440647698E-2</v>
      </c>
      <c r="U95" s="76"/>
      <c r="V95" s="62">
        <f t="shared" si="162"/>
        <v>974</v>
      </c>
      <c r="W95" s="73">
        <v>210</v>
      </c>
      <c r="X95" s="64">
        <f t="shared" si="155"/>
        <v>0.13859748</v>
      </c>
      <c r="Y95" s="65">
        <f t="shared" si="163"/>
        <v>0.11277689684210525</v>
      </c>
      <c r="Z95" s="65">
        <f t="shared" si="164"/>
        <v>0.11277689684210525</v>
      </c>
      <c r="AA95" s="65">
        <f t="shared" si="165"/>
        <v>2.481091730526315E-2</v>
      </c>
      <c r="AB95" s="65">
        <f t="shared" si="156"/>
        <v>0.89334994707871196</v>
      </c>
      <c r="AC95" s="74">
        <f t="shared" si="166"/>
        <v>0.10665005032681364</v>
      </c>
      <c r="AD95" s="65">
        <f t="shared" si="166"/>
        <v>2.4505656309111924E-2</v>
      </c>
      <c r="AE95" s="65">
        <f t="shared" si="157"/>
        <v>0.10074923482559608</v>
      </c>
      <c r="AF95" s="65">
        <f t="shared" si="167"/>
        <v>2.4202909493058703E-2</v>
      </c>
      <c r="AG95" s="65">
        <f t="shared" si="158"/>
        <v>5.6810930314236431E-3</v>
      </c>
      <c r="AH95" s="65">
        <f t="shared" si="168"/>
        <v>3.0024819298952397E-4</v>
      </c>
      <c r="AI95" s="65">
        <f t="shared" si="159"/>
        <v>2.1356534758508905E-4</v>
      </c>
      <c r="AJ95" s="65">
        <f t="shared" si="169"/>
        <v>2.4831443624392567E-6</v>
      </c>
      <c r="AK95" s="65">
        <f t="shared" si="160"/>
        <v>6.0213092934129853E-6</v>
      </c>
      <c r="AL95" s="65">
        <f t="shared" si="170"/>
        <v>1.5402272358377693E-8</v>
      </c>
      <c r="AM95" s="65">
        <f t="shared" si="161"/>
        <v>1.3581291540752916E-7</v>
      </c>
      <c r="AN95" s="95">
        <f t="shared" si="171"/>
        <v>7.6428901159369884E-11</v>
      </c>
    </row>
    <row r="96" spans="1:60" x14ac:dyDescent="0.3">
      <c r="B96" s="62">
        <f t="shared" si="137"/>
        <v>4172</v>
      </c>
      <c r="C96" s="63">
        <v>990</v>
      </c>
      <c r="D96" s="64">
        <f t="shared" si="103"/>
        <v>3.0802582799999998</v>
      </c>
      <c r="E96" s="65">
        <f t="shared" si="104"/>
        <v>3.6779729662736118</v>
      </c>
      <c r="F96" s="65">
        <f t="shared" si="138"/>
        <v>3.6779729662736118</v>
      </c>
      <c r="G96" s="65">
        <f t="shared" si="139"/>
        <v>0.80915405258019435</v>
      </c>
      <c r="H96" s="65">
        <f t="shared" si="105"/>
        <v>2.5274154509837131E-2</v>
      </c>
      <c r="U96" s="76"/>
      <c r="V96" s="62">
        <f t="shared" si="162"/>
        <v>974</v>
      </c>
      <c r="W96" s="63">
        <v>240</v>
      </c>
      <c r="X96" s="64">
        <f t="shared" si="155"/>
        <v>0.18102528000000001</v>
      </c>
      <c r="Y96" s="65">
        <f t="shared" si="163"/>
        <v>0.14730043669172932</v>
      </c>
      <c r="Z96" s="65">
        <f t="shared" si="164"/>
        <v>0.14730043669172932</v>
      </c>
      <c r="AA96" s="65">
        <f t="shared" si="165"/>
        <v>3.2406096072180451E-2</v>
      </c>
      <c r="AB96" s="65">
        <f t="shared" si="156"/>
        <v>0.86303465118726241</v>
      </c>
      <c r="AC96" s="65">
        <f t="shared" si="166"/>
        <v>0.1369653363063626</v>
      </c>
      <c r="AD96" s="65">
        <f t="shared" si="166"/>
        <v>3.1886644788753575E-2</v>
      </c>
      <c r="AE96" s="65">
        <f t="shared" si="157"/>
        <v>0.12712538099997805</v>
      </c>
      <c r="AF96" s="65">
        <f t="shared" si="167"/>
        <v>3.1372774397685911E-2</v>
      </c>
      <c r="AG96" s="65">
        <f t="shared" si="158"/>
        <v>9.362812067949618E-3</v>
      </c>
      <c r="AH96" s="65">
        <f t="shared" si="168"/>
        <v>5.0833457059112647E-4</v>
      </c>
      <c r="AI96" s="65">
        <f t="shared" si="159"/>
        <v>4.5971543542385737E-4</v>
      </c>
      <c r="AJ96" s="65">
        <f t="shared" si="169"/>
        <v>5.4910463104622124E-6</v>
      </c>
      <c r="AK96" s="65">
        <f t="shared" si="160"/>
        <v>1.6929071097965667E-5</v>
      </c>
      <c r="AL96" s="65">
        <f t="shared" si="170"/>
        <v>4.4485843568407625E-8</v>
      </c>
      <c r="AM96" s="65">
        <f t="shared" si="161"/>
        <v>4.9873191310313528E-7</v>
      </c>
      <c r="AN96" s="95">
        <f t="shared" si="171"/>
        <v>2.8832250410596162E-10</v>
      </c>
    </row>
    <row r="97" spans="2:40" x14ac:dyDescent="0.3">
      <c r="B97" s="62">
        <f t="shared" si="137"/>
        <v>4172</v>
      </c>
      <c r="C97" s="63">
        <v>1020</v>
      </c>
      <c r="D97" s="64">
        <f t="shared" si="103"/>
        <v>3.2697691199999999</v>
      </c>
      <c r="E97" s="65">
        <f t="shared" si="104"/>
        <v>3.9042578044190042</v>
      </c>
      <c r="F97" s="65">
        <f t="shared" si="138"/>
        <v>3.9042578044190042</v>
      </c>
      <c r="G97" s="65">
        <f t="shared" si="139"/>
        <v>0.85893671697218066</v>
      </c>
      <c r="H97" s="65">
        <f t="shared" si="105"/>
        <v>2.015590856744719E-2</v>
      </c>
      <c r="U97" s="76"/>
      <c r="V97" s="62">
        <f t="shared" si="162"/>
        <v>974</v>
      </c>
      <c r="W97" s="63">
        <v>270</v>
      </c>
      <c r="X97" s="64">
        <f t="shared" si="155"/>
        <v>0.22911012</v>
      </c>
      <c r="Y97" s="65">
        <f t="shared" si="163"/>
        <v>0.18642711518796992</v>
      </c>
      <c r="Z97" s="65">
        <f t="shared" si="164"/>
        <v>0.18642711518796992</v>
      </c>
      <c r="AA97" s="65">
        <f t="shared" si="165"/>
        <v>4.1013965341353376E-2</v>
      </c>
      <c r="AB97" s="65">
        <f t="shared" si="156"/>
        <v>0.82991904824088447</v>
      </c>
      <c r="AC97" s="65">
        <f t="shared" si="166"/>
        <v>0.17008090204946641</v>
      </c>
      <c r="AD97" s="65">
        <f t="shared" si="166"/>
        <v>4.0184274293661476E-2</v>
      </c>
      <c r="AE97" s="65">
        <f t="shared" si="157"/>
        <v>0.15471941400309375</v>
      </c>
      <c r="AF97" s="65">
        <f t="shared" si="167"/>
        <v>3.936584890794393E-2</v>
      </c>
      <c r="AG97" s="65">
        <f t="shared" si="158"/>
        <v>1.4421947008084982E-2</v>
      </c>
      <c r="AH97" s="65">
        <f t="shared" si="168"/>
        <v>8.0727478137168304E-4</v>
      </c>
      <c r="AI97" s="65">
        <f t="shared" si="159"/>
        <v>8.9621399203701892E-4</v>
      </c>
      <c r="AJ97" s="65">
        <f t="shared" si="169"/>
        <v>1.1036513301375609E-5</v>
      </c>
      <c r="AK97" s="65">
        <f t="shared" si="160"/>
        <v>4.1769647281638925E-5</v>
      </c>
      <c r="AL97" s="65">
        <f t="shared" si="170"/>
        <v>1.131627935080012E-7</v>
      </c>
      <c r="AM97" s="65">
        <f t="shared" si="161"/>
        <v>1.5573989690269948E-6</v>
      </c>
      <c r="AN97" s="95">
        <f t="shared" si="171"/>
        <v>9.2825097817357807E-10</v>
      </c>
    </row>
    <row r="98" spans="2:40" x14ac:dyDescent="0.3">
      <c r="B98" s="62">
        <f t="shared" si="137"/>
        <v>4172</v>
      </c>
      <c r="C98" s="63">
        <v>1050</v>
      </c>
      <c r="D98" s="64">
        <f t="shared" si="103"/>
        <v>3.4649369999999999</v>
      </c>
      <c r="E98" s="65">
        <f t="shared" si="104"/>
        <v>4.137297413852318</v>
      </c>
      <c r="F98" s="65">
        <f t="shared" si="138"/>
        <v>4.137297413852318</v>
      </c>
      <c r="G98" s="65">
        <f t="shared" si="139"/>
        <v>0.91020543104751006</v>
      </c>
      <c r="H98" s="65">
        <f t="shared" si="105"/>
        <v>1.5965942584869816E-2</v>
      </c>
      <c r="U98" s="76"/>
      <c r="V98" s="62">
        <f t="shared" si="162"/>
        <v>974</v>
      </c>
      <c r="W98" s="63">
        <v>300</v>
      </c>
      <c r="X98" s="64">
        <f t="shared" si="155"/>
        <v>0.28285199999999999</v>
      </c>
      <c r="Y98" s="65">
        <f t="shared" si="163"/>
        <v>0.23015693233082704</v>
      </c>
      <c r="Z98" s="65">
        <f t="shared" si="164"/>
        <v>0.23015693233082704</v>
      </c>
      <c r="AA98" s="65">
        <f t="shared" si="165"/>
        <v>5.0634525112781936E-2</v>
      </c>
      <c r="AB98" s="65">
        <f t="shared" si="156"/>
        <v>0.79440892427645105</v>
      </c>
      <c r="AC98" s="65">
        <f t="shared" si="166"/>
        <v>0.20559090616737097</v>
      </c>
      <c r="AD98" s="65">
        <f t="shared" si="166"/>
        <v>4.9373962982228209E-2</v>
      </c>
      <c r="AE98" s="65">
        <f t="shared" si="157"/>
        <v>0.18283872102770024</v>
      </c>
      <c r="AF98" s="65">
        <f t="shared" si="167"/>
        <v>4.8134497943105849E-2</v>
      </c>
      <c r="AG98" s="65">
        <f t="shared" si="158"/>
        <v>2.1040799571513683E-2</v>
      </c>
      <c r="AH98" s="65">
        <f t="shared" si="168"/>
        <v>1.2186337224456716E-3</v>
      </c>
      <c r="AI98" s="65">
        <f t="shared" si="159"/>
        <v>1.6142286277224564E-3</v>
      </c>
      <c r="AJ98" s="65">
        <f t="shared" si="169"/>
        <v>2.0568313274152764E-5</v>
      </c>
      <c r="AK98" s="65">
        <f t="shared" si="160"/>
        <v>9.2881477259300298E-5</v>
      </c>
      <c r="AL98" s="65">
        <f t="shared" si="170"/>
        <v>2.6036669375191355E-7</v>
      </c>
      <c r="AM98" s="65">
        <f t="shared" si="161"/>
        <v>4.2754631752712055E-6</v>
      </c>
      <c r="AN98" s="95">
        <f t="shared" si="171"/>
        <v>2.6367087786626537E-9</v>
      </c>
    </row>
    <row r="99" spans="2:40" x14ac:dyDescent="0.3">
      <c r="B99" s="62">
        <f t="shared" si="137"/>
        <v>4172</v>
      </c>
      <c r="C99" s="63">
        <v>1080</v>
      </c>
      <c r="D99" s="64">
        <f t="shared" si="103"/>
        <v>3.66576192</v>
      </c>
      <c r="E99" s="65">
        <f t="shared" si="104"/>
        <v>4.3770917945735546</v>
      </c>
      <c r="F99" s="65">
        <f t="shared" si="138"/>
        <v>4.3770917945735546</v>
      </c>
      <c r="G99" s="65">
        <f t="shared" si="139"/>
        <v>0.96296019480618167</v>
      </c>
      <c r="H99" s="65">
        <f t="shared" si="105"/>
        <v>1.2561837955973411E-2</v>
      </c>
      <c r="U99" s="76"/>
      <c r="V99" s="62">
        <f t="shared" si="162"/>
        <v>974</v>
      </c>
      <c r="W99" s="63">
        <v>330</v>
      </c>
      <c r="X99" s="64">
        <f t="shared" si="155"/>
        <v>0.34225091999999996</v>
      </c>
      <c r="Y99" s="65">
        <f t="shared" si="163"/>
        <v>0.27848988812030068</v>
      </c>
      <c r="Z99" s="65">
        <f t="shared" si="164"/>
        <v>0.27848988812030068</v>
      </c>
      <c r="AA99" s="65">
        <f t="shared" si="165"/>
        <v>6.1267775386466133E-2</v>
      </c>
      <c r="AB99" s="65">
        <f t="shared" si="156"/>
        <v>0.75692592165506933</v>
      </c>
      <c r="AC99" s="65">
        <f t="shared" si="166"/>
        <v>0.24307356770218308</v>
      </c>
      <c r="AD99" s="65">
        <f t="shared" si="166"/>
        <v>5.942865573368912E-2</v>
      </c>
      <c r="AE99" s="65">
        <f t="shared" si="157"/>
        <v>0.21079621523707573</v>
      </c>
      <c r="AF99" s="65">
        <f t="shared" si="167"/>
        <v>5.7626713851184161E-2</v>
      </c>
      <c r="AG99" s="65">
        <f t="shared" si="158"/>
        <v>2.9352307198778023E-2</v>
      </c>
      <c r="AH99" s="65">
        <f t="shared" si="168"/>
        <v>1.7653302802472539E-3</v>
      </c>
      <c r="AI99" s="65">
        <f t="shared" si="159"/>
        <v>2.724773582620129E-3</v>
      </c>
      <c r="AJ99" s="65">
        <f t="shared" si="169"/>
        <v>3.6052619697705355E-5</v>
      </c>
      <c r="AK99" s="65">
        <f t="shared" si="160"/>
        <v>1.8970547254425768E-4</v>
      </c>
      <c r="AL99" s="65">
        <f t="shared" si="170"/>
        <v>5.5221595143317406E-7</v>
      </c>
      <c r="AM99" s="65">
        <f t="shared" si="161"/>
        <v>1.0566211164931817E-5</v>
      </c>
      <c r="AN99" s="95">
        <f t="shared" si="171"/>
        <v>6.7666085754462805E-9</v>
      </c>
    </row>
    <row r="100" spans="2:40" x14ac:dyDescent="0.3">
      <c r="B100" s="62">
        <f t="shared" si="137"/>
        <v>4172</v>
      </c>
      <c r="C100" s="63">
        <v>1110</v>
      </c>
      <c r="D100" s="64">
        <f t="shared" si="103"/>
        <v>3.8722438800000001</v>
      </c>
      <c r="E100" s="65">
        <f t="shared" si="104"/>
        <v>4.6236409465827135</v>
      </c>
      <c r="F100" s="65">
        <f t="shared" si="138"/>
        <v>4.6236409465827135</v>
      </c>
      <c r="G100" s="65">
        <f t="shared" si="139"/>
        <v>1.0172010082481968</v>
      </c>
      <c r="H100" s="65">
        <f t="shared" si="105"/>
        <v>9.8169877846068978E-3</v>
      </c>
      <c r="U100" s="76"/>
      <c r="V100" s="62">
        <f t="shared" si="162"/>
        <v>974</v>
      </c>
      <c r="W100" s="63">
        <v>360</v>
      </c>
      <c r="X100" s="64">
        <f t="shared" si="155"/>
        <v>0.40730687999999998</v>
      </c>
      <c r="Y100" s="65">
        <f t="shared" si="163"/>
        <v>0.33142598255639094</v>
      </c>
      <c r="Z100" s="65">
        <f t="shared" si="164"/>
        <v>0.33142598255639094</v>
      </c>
      <c r="AA100" s="65">
        <f t="shared" si="165"/>
        <v>7.2913716162405995E-2</v>
      </c>
      <c r="AB100" s="65">
        <f t="shared" si="156"/>
        <v>0.71789929132056118</v>
      </c>
      <c r="AC100" s="65">
        <f t="shared" si="166"/>
        <v>0.28209932197385051</v>
      </c>
      <c r="AD100" s="65">
        <f t="shared" si="166"/>
        <v>7.0318956790605458E-2</v>
      </c>
      <c r="AE100" s="65">
        <f t="shared" si="157"/>
        <v>0.23793047800245373</v>
      </c>
      <c r="AF100" s="65">
        <f t="shared" si="167"/>
        <v>6.7786499691843527E-2</v>
      </c>
      <c r="AG100" s="65">
        <f t="shared" si="158"/>
        <v>3.9428171226037492E-2</v>
      </c>
      <c r="AH100" s="65">
        <f t="shared" si="168"/>
        <v>2.47128279908705E-3</v>
      </c>
      <c r="AI100" s="65">
        <f t="shared" si="159"/>
        <v>4.3558401296636988E-3</v>
      </c>
      <c r="AJ100" s="65">
        <f t="shared" si="169"/>
        <v>6.0063470856556454E-5</v>
      </c>
      <c r="AK100" s="65">
        <f t="shared" si="160"/>
        <v>3.6090964870808716E-4</v>
      </c>
      <c r="AL100" s="65">
        <f t="shared" si="170"/>
        <v>1.0948627164409755E-6</v>
      </c>
      <c r="AM100" s="65">
        <f t="shared" si="161"/>
        <v>2.3922966987431933E-5</v>
      </c>
      <c r="AN100" s="95">
        <f t="shared" si="171"/>
        <v>1.596610186867562E-8</v>
      </c>
    </row>
    <row r="101" spans="2:40" x14ac:dyDescent="0.3">
      <c r="B101" s="62">
        <f t="shared" si="137"/>
        <v>4172</v>
      </c>
      <c r="C101" s="63">
        <v>1140</v>
      </c>
      <c r="D101" s="64">
        <f t="shared" si="103"/>
        <v>4.0843828799999997</v>
      </c>
      <c r="E101" s="65">
        <f t="shared" si="104"/>
        <v>4.8769448698797939</v>
      </c>
      <c r="F101" s="65">
        <f t="shared" si="138"/>
        <v>4.8769448698797939</v>
      </c>
      <c r="G101" s="65">
        <f t="shared" si="139"/>
        <v>1.0729278713735546</v>
      </c>
      <c r="H101" s="65">
        <f t="shared" si="105"/>
        <v>7.6202593846714907E-3</v>
      </c>
      <c r="U101" s="76"/>
      <c r="V101" s="62">
        <f t="shared" si="162"/>
        <v>974</v>
      </c>
      <c r="W101" s="63">
        <v>390</v>
      </c>
      <c r="X101" s="64">
        <f t="shared" si="155"/>
        <v>0.47801987999999995</v>
      </c>
      <c r="Y101" s="65">
        <f t="shared" si="163"/>
        <v>0.38896521563909769</v>
      </c>
      <c r="Z101" s="65">
        <f t="shared" si="164"/>
        <v>0.38896521563909769</v>
      </c>
      <c r="AA101" s="65">
        <f t="shared" si="165"/>
        <v>8.5572347440601493E-2</v>
      </c>
      <c r="AB101" s="65">
        <f t="shared" si="156"/>
        <v>0.67775784497743286</v>
      </c>
      <c r="AC101" s="65">
        <f t="shared" si="166"/>
        <v>0.32223870475946986</v>
      </c>
      <c r="AD101" s="65">
        <f t="shared" si="166"/>
        <v>8.2013272831718484E-2</v>
      </c>
      <c r="AE101" s="65">
        <f t="shared" si="157"/>
        <v>0.2636242263227373</v>
      </c>
      <c r="AF101" s="65">
        <f t="shared" si="167"/>
        <v>7.8554279119736614E-2</v>
      </c>
      <c r="AG101" s="65">
        <f t="shared" si="158"/>
        <v>5.1270327019656912E-2</v>
      </c>
      <c r="AH101" s="65">
        <f t="shared" si="168"/>
        <v>3.3610370328900447E-3</v>
      </c>
      <c r="AI101" s="65">
        <f t="shared" si="159"/>
        <v>6.6474579350293021E-3</v>
      </c>
      <c r="AJ101" s="65">
        <f t="shared" si="169"/>
        <v>9.5870609579731759E-5</v>
      </c>
      <c r="AK101" s="65">
        <f t="shared" si="160"/>
        <v>6.4640747728762586E-4</v>
      </c>
      <c r="AL101" s="65">
        <f t="shared" si="170"/>
        <v>2.0509682780747657E-6</v>
      </c>
      <c r="AM101" s="65">
        <f t="shared" si="161"/>
        <v>5.028600475878132E-5</v>
      </c>
      <c r="AN101" s="95">
        <f t="shared" si="171"/>
        <v>3.5101234016213203E-8</v>
      </c>
    </row>
    <row r="102" spans="2:40" x14ac:dyDescent="0.3">
      <c r="B102" s="62">
        <f t="shared" si="137"/>
        <v>4172</v>
      </c>
      <c r="C102" s="63">
        <v>1170</v>
      </c>
      <c r="D102" s="64">
        <f t="shared" si="103"/>
        <v>4.3021789200000002</v>
      </c>
      <c r="E102" s="65">
        <f t="shared" si="104"/>
        <v>5.1370035644647976</v>
      </c>
      <c r="F102" s="65">
        <f t="shared" si="138"/>
        <v>5.1370035644647976</v>
      </c>
      <c r="G102" s="65">
        <f t="shared" si="139"/>
        <v>1.1301407841822551</v>
      </c>
      <c r="H102" s="65">
        <f t="shared" si="105"/>
        <v>5.8752682262346303E-3</v>
      </c>
      <c r="U102" s="76"/>
      <c r="V102" s="62">
        <f t="shared" si="162"/>
        <v>974</v>
      </c>
      <c r="W102" s="63">
        <v>420</v>
      </c>
      <c r="X102" s="64">
        <f t="shared" si="155"/>
        <v>0.55438991999999998</v>
      </c>
      <c r="Y102" s="65">
        <f t="shared" si="163"/>
        <v>0.45110758736842099</v>
      </c>
      <c r="Z102" s="65">
        <f t="shared" si="164"/>
        <v>0.45110758736842099</v>
      </c>
      <c r="AA102" s="65">
        <f t="shared" si="165"/>
        <v>9.9243669221052599E-2</v>
      </c>
      <c r="AB102" s="65">
        <f t="shared" si="156"/>
        <v>0.63692231369602992</v>
      </c>
      <c r="AC102" s="65">
        <f t="shared" si="166"/>
        <v>0.3630697225983423</v>
      </c>
      <c r="AD102" s="65">
        <f t="shared" si="166"/>
        <v>9.447796549076215E-2</v>
      </c>
      <c r="AE102" s="65">
        <f t="shared" si="157"/>
        <v>0.28732048827252865</v>
      </c>
      <c r="AF102" s="65">
        <f t="shared" si="167"/>
        <v>8.9867329144239727E-2</v>
      </c>
      <c r="AG102" s="65">
        <f t="shared" si="158"/>
        <v>6.4806226133068551E-2</v>
      </c>
      <c r="AH102" s="65">
        <f t="shared" si="168"/>
        <v>4.4593817436851934E-3</v>
      </c>
      <c r="AI102" s="65">
        <f t="shared" si="159"/>
        <v>9.7448601057802883E-3</v>
      </c>
      <c r="AJ102" s="65">
        <f t="shared" si="169"/>
        <v>1.4752180223356472E-4</v>
      </c>
      <c r="AK102" s="65">
        <f t="shared" si="160"/>
        <v>1.0989950828903304E-3</v>
      </c>
      <c r="AL102" s="65">
        <f t="shared" si="170"/>
        <v>3.6601512359403581E-6</v>
      </c>
      <c r="AM102" s="65">
        <f t="shared" si="161"/>
        <v>9.915300407448297E-5</v>
      </c>
      <c r="AN102" s="95">
        <f t="shared" si="171"/>
        <v>7.2649367711738345E-8</v>
      </c>
    </row>
    <row r="103" spans="2:40" x14ac:dyDescent="0.3">
      <c r="B103" s="62">
        <f t="shared" si="137"/>
        <v>4172</v>
      </c>
      <c r="C103" s="63">
        <v>1200</v>
      </c>
      <c r="D103" s="64">
        <f t="shared" si="103"/>
        <v>4.5256319999999999</v>
      </c>
      <c r="E103" s="65">
        <f t="shared" si="104"/>
        <v>5.4038170303377218</v>
      </c>
      <c r="F103" s="65">
        <f t="shared" si="138"/>
        <v>5.4038170303377218</v>
      </c>
      <c r="G103" s="65">
        <f t="shared" si="139"/>
        <v>1.188839746674299</v>
      </c>
      <c r="H103" s="65">
        <f t="shared" si="105"/>
        <v>4.4993738769695708E-3</v>
      </c>
      <c r="U103" s="76"/>
      <c r="V103" s="62">
        <f t="shared" si="162"/>
        <v>974</v>
      </c>
      <c r="W103" s="73">
        <v>450</v>
      </c>
      <c r="X103" s="64">
        <f t="shared" si="155"/>
        <v>0.63641700000000001</v>
      </c>
      <c r="Y103" s="65">
        <f t="shared" si="163"/>
        <v>0.51785309774436095</v>
      </c>
      <c r="Z103" s="65">
        <f t="shared" si="164"/>
        <v>0.51785309774436095</v>
      </c>
      <c r="AA103" s="65">
        <f t="shared" si="165"/>
        <v>0.11392768150375937</v>
      </c>
      <c r="AB103" s="65">
        <f t="shared" si="156"/>
        <v>0.59579829658556549</v>
      </c>
      <c r="AC103" s="65">
        <f t="shared" si="166"/>
        <v>0.40418448270076901</v>
      </c>
      <c r="AD103" s="74">
        <f t="shared" si="166"/>
        <v>0.1076775122759538</v>
      </c>
      <c r="AE103" s="65">
        <f t="shared" si="157"/>
        <v>0.3085359935176486</v>
      </c>
      <c r="AF103" s="65">
        <f t="shared" si="167"/>
        <v>0.10166023186622912</v>
      </c>
      <c r="AG103" s="65">
        <f t="shared" si="158"/>
        <v>7.9888160004374195E-2</v>
      </c>
      <c r="AH103" s="65">
        <f t="shared" si="168"/>
        <v>5.7909572588270399E-3</v>
      </c>
      <c r="AI103" s="65">
        <f t="shared" si="159"/>
        <v>1.379011037712078E-2</v>
      </c>
      <c r="AJ103" s="65">
        <f t="shared" si="169"/>
        <v>2.1991677806184348E-4</v>
      </c>
      <c r="AK103" s="65">
        <f t="shared" si="160"/>
        <v>1.7853128442571634E-3</v>
      </c>
      <c r="AL103" s="65">
        <f t="shared" si="170"/>
        <v>6.2636521620906594E-6</v>
      </c>
      <c r="AM103" s="65">
        <f t="shared" si="161"/>
        <v>1.849059573682736E-4</v>
      </c>
      <c r="AN103" s="95">
        <f t="shared" si="171"/>
        <v>1.4272067371459967E-7</v>
      </c>
    </row>
    <row r="104" spans="2:40" x14ac:dyDescent="0.3">
      <c r="B104" s="62">
        <f t="shared" si="137"/>
        <v>4172</v>
      </c>
      <c r="C104" s="63">
        <v>1230</v>
      </c>
      <c r="D104" s="64">
        <f t="shared" si="103"/>
        <v>4.7547421200000004</v>
      </c>
      <c r="E104" s="65">
        <f t="shared" si="104"/>
        <v>5.6773852674985701</v>
      </c>
      <c r="F104" s="65">
        <f t="shared" si="138"/>
        <v>5.6773852674985701</v>
      </c>
      <c r="G104" s="65">
        <f t="shared" si="139"/>
        <v>1.2490247588496857</v>
      </c>
      <c r="H104" s="65">
        <f t="shared" si="105"/>
        <v>3.4224956647326056E-3</v>
      </c>
      <c r="U104" s="76"/>
      <c r="V104" s="62">
        <f t="shared" si="162"/>
        <v>974</v>
      </c>
      <c r="W104" s="63">
        <v>480</v>
      </c>
      <c r="X104" s="64">
        <f t="shared" si="155"/>
        <v>0.72410112000000004</v>
      </c>
      <c r="Y104" s="65">
        <f t="shared" si="163"/>
        <v>0.58920174676691728</v>
      </c>
      <c r="Z104" s="65">
        <f t="shared" si="164"/>
        <v>0.58920174676691728</v>
      </c>
      <c r="AA104" s="65">
        <f t="shared" si="165"/>
        <v>0.12962438428872181</v>
      </c>
      <c r="AB104" s="65">
        <f t="shared" si="156"/>
        <v>0.5547699549396875</v>
      </c>
      <c r="AC104" s="65">
        <f>SUM(AE104,AG104,AI104,AK104,AM104)</f>
        <v>0.44519488006739361</v>
      </c>
      <c r="AD104" s="65">
        <f>SUM(AF104,AH104,AJ104,AL104,AN104)</f>
        <v>0.12157467479137553</v>
      </c>
      <c r="AE104" s="65">
        <f t="shared" si="157"/>
        <v>0.32687142650426787</v>
      </c>
      <c r="AF104" s="65">
        <f t="shared" si="167"/>
        <v>0.11386534115946381</v>
      </c>
      <c r="AG104" s="65">
        <f t="shared" si="158"/>
        <v>9.6296607732254333E-2</v>
      </c>
      <c r="AH104" s="65">
        <f t="shared" si="168"/>
        <v>7.3798623698103742E-3</v>
      </c>
      <c r="AI104" s="65">
        <f t="shared" si="159"/>
        <v>1.8912709827857626E-2</v>
      </c>
      <c r="AJ104" s="65">
        <f t="shared" si="169"/>
        <v>3.1887003860739236E-4</v>
      </c>
      <c r="AK104" s="65">
        <f t="shared" si="160"/>
        <v>2.7858504166673893E-3</v>
      </c>
      <c r="AL104" s="65">
        <f t="shared" si="170"/>
        <v>1.0333333105651046E-5</v>
      </c>
      <c r="AM104" s="65">
        <f t="shared" si="161"/>
        <v>3.28285586346354E-4</v>
      </c>
      <c r="AN104" s="95">
        <f t="shared" si="171"/>
        <v>2.6789038829405652E-7</v>
      </c>
    </row>
    <row r="105" spans="2:40" ht="15" thickBot="1" x14ac:dyDescent="0.35">
      <c r="B105" s="62">
        <f t="shared" si="137"/>
        <v>4172</v>
      </c>
      <c r="C105" s="63">
        <v>1260</v>
      </c>
      <c r="D105" s="64">
        <f t="shared" si="103"/>
        <v>4.9895092799999992</v>
      </c>
      <c r="E105" s="65">
        <f t="shared" si="104"/>
        <v>5.9577082759473372</v>
      </c>
      <c r="F105" s="65">
        <f t="shared" si="138"/>
        <v>5.9577082759473372</v>
      </c>
      <c r="G105" s="65">
        <f t="shared" si="139"/>
        <v>1.3106958207084141</v>
      </c>
      <c r="H105" s="65">
        <f t="shared" si="105"/>
        <v>2.5858311983732751E-3</v>
      </c>
      <c r="U105" s="96"/>
      <c r="V105" s="79">
        <f t="shared" si="162"/>
        <v>974</v>
      </c>
      <c r="W105" s="97">
        <v>510</v>
      </c>
      <c r="X105" s="98">
        <f t="shared" si="155"/>
        <v>0.81744227999999997</v>
      </c>
      <c r="Y105" s="99">
        <f t="shared" si="163"/>
        <v>0.66515353443609015</v>
      </c>
      <c r="Z105" s="65">
        <f t="shared" si="164"/>
        <v>0.66515353443609015</v>
      </c>
      <c r="AA105" s="65">
        <f t="shared" si="165"/>
        <v>0.14633377757593979</v>
      </c>
      <c r="AB105" s="99">
        <f t="shared" si="156"/>
        <v>0.51419457507168864</v>
      </c>
      <c r="AC105" s="99">
        <f>SUM(AE105,AG105,AI105,AK105,AM105)</f>
        <v>0.48573717259346921</v>
      </c>
      <c r="AD105" s="99">
        <f>SUM(AF105,AH105,AJ105,AL105,AN105)</f>
        <v>0.13613067311541546</v>
      </c>
      <c r="AE105" s="99">
        <f t="shared" si="157"/>
        <v>0.34201833899679718</v>
      </c>
      <c r="AF105" s="99">
        <f t="shared" si="167"/>
        <v>0.1264132601743346</v>
      </c>
      <c r="AG105" s="99">
        <f t="shared" si="158"/>
        <v>0.11374735351284024</v>
      </c>
      <c r="AH105" s="99">
        <f t="shared" si="168"/>
        <v>9.2492649485002437E-3</v>
      </c>
      <c r="AI105" s="99">
        <f t="shared" si="159"/>
        <v>2.5219818073939037E-2</v>
      </c>
      <c r="AJ105" s="99">
        <f t="shared" si="169"/>
        <v>4.5115995990492364E-4</v>
      </c>
      <c r="AK105" s="99">
        <f t="shared" si="160"/>
        <v>4.1937627824289343E-3</v>
      </c>
      <c r="AL105" s="99">
        <f t="shared" si="170"/>
        <v>1.6504985305974251E-5</v>
      </c>
      <c r="AM105" s="99">
        <f t="shared" si="161"/>
        <v>5.5789922746382744E-4</v>
      </c>
      <c r="AN105" s="100">
        <f t="shared" si="171"/>
        <v>4.8304736973171805E-7</v>
      </c>
    </row>
    <row r="106" spans="2:40" ht="15" thickTop="1" x14ac:dyDescent="0.3">
      <c r="B106" s="62">
        <f t="shared" si="137"/>
        <v>4172</v>
      </c>
      <c r="C106" s="63">
        <v>1290</v>
      </c>
      <c r="D106" s="64">
        <f t="shared" si="103"/>
        <v>5.2299334799999997</v>
      </c>
      <c r="E106" s="65">
        <f t="shared" si="104"/>
        <v>6.2447860556840293</v>
      </c>
      <c r="F106" s="65">
        <f t="shared" si="138"/>
        <v>6.2447860556840293</v>
      </c>
      <c r="G106" s="65">
        <f t="shared" si="139"/>
        <v>1.373852932250486</v>
      </c>
      <c r="H106" s="65">
        <f t="shared" si="105"/>
        <v>1.9405457021682007E-3</v>
      </c>
      <c r="U106" s="76"/>
      <c r="V106" s="62"/>
      <c r="W106" s="63"/>
      <c r="X106" s="64"/>
      <c r="Y106" s="65"/>
      <c r="Z106" s="65"/>
      <c r="AA106" s="65"/>
      <c r="AB106" s="65"/>
      <c r="AC106" s="65"/>
      <c r="AD106" s="65"/>
      <c r="AE106" s="65"/>
      <c r="AF106" s="65"/>
      <c r="AG106" s="65"/>
      <c r="AH106" s="65"/>
      <c r="AI106" s="65"/>
      <c r="AJ106" s="65"/>
      <c r="AK106" s="65"/>
      <c r="AL106" s="65"/>
      <c r="AM106" s="65"/>
      <c r="AN106" s="101"/>
    </row>
    <row r="107" spans="2:40" x14ac:dyDescent="0.3">
      <c r="B107" s="62">
        <f t="shared" si="137"/>
        <v>4172</v>
      </c>
      <c r="C107" s="63">
        <v>1320</v>
      </c>
      <c r="D107" s="64">
        <f t="shared" si="103"/>
        <v>5.4760147199999993</v>
      </c>
      <c r="E107" s="65">
        <f t="shared" si="104"/>
        <v>6.5386186067086429</v>
      </c>
      <c r="F107" s="65">
        <f t="shared" si="138"/>
        <v>6.5386186067086429</v>
      </c>
      <c r="G107" s="65">
        <f t="shared" si="139"/>
        <v>1.4384960934759015</v>
      </c>
      <c r="H107" s="65">
        <f t="shared" si="105"/>
        <v>1.4464852845981033E-3</v>
      </c>
      <c r="U107" s="38"/>
      <c r="V107" s="38"/>
      <c r="W107" s="38"/>
      <c r="X107" s="38"/>
      <c r="Y107" s="38"/>
      <c r="Z107" s="38"/>
      <c r="AA107" s="38"/>
      <c r="AB107" s="38"/>
      <c r="AC107" s="38"/>
      <c r="AD107" s="38"/>
      <c r="AE107" s="38"/>
      <c r="AF107" s="38"/>
      <c r="AG107" s="38"/>
      <c r="AH107" s="38"/>
      <c r="AI107" s="38"/>
      <c r="AJ107" s="38"/>
      <c r="AK107" s="38"/>
      <c r="AL107" s="38"/>
      <c r="AM107" s="38"/>
      <c r="AN107" s="38"/>
    </row>
    <row r="108" spans="2:40" ht="15.6" x14ac:dyDescent="0.3">
      <c r="B108" s="62">
        <f t="shared" si="137"/>
        <v>4172</v>
      </c>
      <c r="C108" s="63">
        <v>1350</v>
      </c>
      <c r="D108" s="64">
        <f t="shared" si="103"/>
        <v>5.7277529999999999</v>
      </c>
      <c r="E108" s="65">
        <f t="shared" si="104"/>
        <v>6.8392059290211789</v>
      </c>
      <c r="F108" s="65">
        <f t="shared" si="138"/>
        <v>6.8392059290211789</v>
      </c>
      <c r="G108" s="65">
        <f t="shared" si="139"/>
        <v>1.5046253043846596</v>
      </c>
      <c r="H108" s="65">
        <f t="shared" si="105"/>
        <v>1.070953475159078E-3</v>
      </c>
      <c r="U108" s="1383" t="s">
        <v>391</v>
      </c>
      <c r="V108" s="1383"/>
      <c r="W108" s="1383"/>
      <c r="X108" s="1383"/>
      <c r="Y108" s="1383"/>
      <c r="Z108" s="1383"/>
      <c r="AA108" s="1383"/>
      <c r="AB108" s="1383"/>
      <c r="AC108" s="1383"/>
      <c r="AD108" s="1383"/>
      <c r="AE108" s="1383"/>
      <c r="AF108" s="1383"/>
      <c r="AG108" s="1383"/>
      <c r="AH108" s="1383"/>
      <c r="AI108" s="1383"/>
      <c r="AJ108" s="1383"/>
      <c r="AK108" s="1383"/>
      <c r="AL108" s="1383"/>
      <c r="AM108" s="1383"/>
      <c r="AN108" s="1383"/>
    </row>
    <row r="109" spans="2:40" ht="80.400000000000006" thickBot="1" x14ac:dyDescent="0.35">
      <c r="B109" s="62">
        <f t="shared" si="137"/>
        <v>4172</v>
      </c>
      <c r="C109" s="63">
        <v>1380</v>
      </c>
      <c r="D109" s="64">
        <f t="shared" si="103"/>
        <v>5.9851483199999995</v>
      </c>
      <c r="E109" s="65">
        <f t="shared" si="104"/>
        <v>7.1465480226216362</v>
      </c>
      <c r="F109" s="65">
        <f t="shared" si="138"/>
        <v>7.1465480226216362</v>
      </c>
      <c r="G109" s="65">
        <f t="shared" si="139"/>
        <v>1.5722405649767595</v>
      </c>
      <c r="H109" s="65">
        <f t="shared" si="105"/>
        <v>7.8757809602836249E-4</v>
      </c>
      <c r="U109" s="57"/>
      <c r="V109" s="58" t="s">
        <v>362</v>
      </c>
      <c r="W109" s="58" t="s">
        <v>363</v>
      </c>
      <c r="X109" s="59" t="s">
        <v>364</v>
      </c>
      <c r="Y109" s="57" t="s">
        <v>365</v>
      </c>
      <c r="Z109" s="52" t="s">
        <v>366</v>
      </c>
      <c r="AA109" s="52" t="s">
        <v>367</v>
      </c>
      <c r="AB109" s="60" t="s">
        <v>368</v>
      </c>
      <c r="AC109" s="57" t="s">
        <v>382</v>
      </c>
      <c r="AD109" s="57" t="s">
        <v>383</v>
      </c>
      <c r="AE109" s="60" t="s">
        <v>371</v>
      </c>
      <c r="AF109" s="60" t="s">
        <v>372</v>
      </c>
      <c r="AG109" s="60" t="s">
        <v>373</v>
      </c>
      <c r="AH109" s="60" t="s">
        <v>374</v>
      </c>
      <c r="AI109" s="60" t="s">
        <v>375</v>
      </c>
      <c r="AJ109" s="60" t="s">
        <v>376</v>
      </c>
      <c r="AK109" s="60" t="s">
        <v>377</v>
      </c>
      <c r="AL109" s="60" t="s">
        <v>378</v>
      </c>
      <c r="AM109" s="60" t="s">
        <v>379</v>
      </c>
      <c r="AN109" s="60" t="s">
        <v>380</v>
      </c>
    </row>
    <row r="110" spans="2:40" ht="15" thickTop="1" x14ac:dyDescent="0.3">
      <c r="B110" s="62">
        <f t="shared" si="137"/>
        <v>4172</v>
      </c>
      <c r="C110" s="63">
        <v>1410</v>
      </c>
      <c r="D110" s="64">
        <f t="shared" si="103"/>
        <v>6.2482006800000001</v>
      </c>
      <c r="E110" s="65">
        <f t="shared" si="104"/>
        <v>7.4606448875100178</v>
      </c>
      <c r="F110" s="65">
        <f t="shared" si="138"/>
        <v>7.4606448875100178</v>
      </c>
      <c r="G110" s="65">
        <f t="shared" si="139"/>
        <v>1.6413418752522038</v>
      </c>
      <c r="H110" s="65">
        <f t="shared" si="105"/>
        <v>5.7528505768840769E-4</v>
      </c>
      <c r="U110" s="68"/>
      <c r="V110" s="62">
        <f>ROUNDUP(($H$4/$O$13),0)</f>
        <v>1251</v>
      </c>
      <c r="W110" s="63">
        <v>30</v>
      </c>
      <c r="X110" s="62">
        <f t="shared" ref="X110:X126" si="172">((W110^2)*3.1428)/1000000</f>
        <v>2.8285200000000002E-3</v>
      </c>
      <c r="Y110" s="65">
        <f>(V110/(1197/$X110))</f>
        <v>2.9561224060150378E-3</v>
      </c>
      <c r="Z110" s="65">
        <f>1*$Y110</f>
        <v>2.9561224060150378E-3</v>
      </c>
      <c r="AA110" s="65">
        <f>1*($Y110-($Y110*0.78))</f>
        <v>6.5034692932330841E-4</v>
      </c>
      <c r="AB110" s="65">
        <f t="shared" ref="AB110:AB126" si="173">EXP(-$Z110)</f>
        <v>0.99704824262157998</v>
      </c>
      <c r="AC110" s="65">
        <f>SUM(AE110,AG110,AI110,AK110,AM110)</f>
        <v>2.9517573784200173E-3</v>
      </c>
      <c r="AD110" s="65">
        <f>SUM(AF110,AH110,AJ110,AL110,AN110)</f>
        <v>6.5013549959577679E-4</v>
      </c>
      <c r="AE110" s="65">
        <f t="shared" ref="AE110:AE126" si="174">EXP(-$Z110)*POWER($Z110,1)</f>
        <v>2.9473966498915704E-3</v>
      </c>
      <c r="AF110" s="65">
        <f>EXP(-$AA110)*POWER($AA110,1)</f>
        <v>6.4992411569750222E-4</v>
      </c>
      <c r="AG110" s="65">
        <f t="shared" ref="AG110:AG126" si="175">EXP(-$Z110)*POWER($Z110,2)/FACT(2)</f>
        <v>4.3564326380790658E-6</v>
      </c>
      <c r="AH110" s="65">
        <f>EXP(-$AA110)*POWER($AA110,2)/FACT(2)</f>
        <v>2.1133807646851861E-7</v>
      </c>
      <c r="AI110" s="65">
        <f t="shared" ref="AI110:AI126" si="176">EXP(-$Z110)*POWER($Z110,3)/FACT(3)</f>
        <v>4.2927160439069086E-9</v>
      </c>
      <c r="AJ110" s="65">
        <f>EXP(-$AA110)*POWER($AA110,3)/FACT(3)</f>
        <v>4.5814356360131874E-11</v>
      </c>
      <c r="AK110" s="65">
        <f t="shared" ref="AK110:AK126" si="177">EXP(-$Z110)*POWER($Z110,4)/FACT(4)</f>
        <v>3.1724485200133609E-12</v>
      </c>
      <c r="AL110" s="65">
        <f>EXP(-$AA110)*POWER($AA110,4)/FACT(4)</f>
        <v>7.4488064944338869E-15</v>
      </c>
      <c r="AM110" s="65">
        <f t="shared" ref="AM110:AM126" si="178">EXP(-$Z110)*POWER($Z110,5)/FACT(5)</f>
        <v>1.8756292303881486E-15</v>
      </c>
      <c r="AN110" s="65">
        <f>EXP(-$AA110)*POWER($AA110,5)/FACT(5)</f>
        <v>9.6886168615571922E-19</v>
      </c>
    </row>
    <row r="111" spans="2:40" x14ac:dyDescent="0.3">
      <c r="B111" s="62">
        <f t="shared" si="137"/>
        <v>4172</v>
      </c>
      <c r="C111" s="63">
        <v>1440</v>
      </c>
      <c r="D111" s="64">
        <f t="shared" si="103"/>
        <v>6.5169100799999997</v>
      </c>
      <c r="E111" s="65">
        <f t="shared" si="104"/>
        <v>7.7814965236863189</v>
      </c>
      <c r="F111" s="65">
        <f t="shared" si="138"/>
        <v>7.7814965236863189</v>
      </c>
      <c r="G111" s="65">
        <f t="shared" si="139"/>
        <v>1.7119292352109898</v>
      </c>
      <c r="H111" s="65">
        <f t="shared" si="105"/>
        <v>4.173870773436345E-4</v>
      </c>
      <c r="U111" s="68"/>
      <c r="V111" s="62">
        <f t="shared" ref="V111:V126" si="179">ROUNDUP(($H$4/$O$13),0)</f>
        <v>1251</v>
      </c>
      <c r="W111" s="63">
        <v>60</v>
      </c>
      <c r="X111" s="62">
        <f t="shared" si="172"/>
        <v>1.1314080000000001E-2</v>
      </c>
      <c r="Y111" s="65">
        <f t="shared" ref="Y111:Y126" si="180">(V111/(1197/$X111))</f>
        <v>1.1824489624060151E-2</v>
      </c>
      <c r="Z111" s="65">
        <f t="shared" ref="Z111:Z126" si="181">1*$Y111</f>
        <v>1.1824489624060151E-2</v>
      </c>
      <c r="AA111" s="65">
        <f t="shared" ref="AA111:AA126" si="182">1*($Y111-($Y111*0.78))</f>
        <v>2.6013877172932336E-3</v>
      </c>
      <c r="AB111" s="65">
        <f t="shared" si="173"/>
        <v>0.98824514491882798</v>
      </c>
      <c r="AC111" s="65">
        <f t="shared" ref="AC111:AD125" si="183">SUM(AE111,AG111,AI111,AK111,AM111)</f>
        <v>1.1754855081168221E-2</v>
      </c>
      <c r="AD111" s="65">
        <f t="shared" si="183"/>
        <v>2.5980070403845701E-3</v>
      </c>
      <c r="AE111" s="65">
        <f t="shared" si="174"/>
        <v>1.1685494462120503E-2</v>
      </c>
      <c r="AF111" s="65">
        <f t="shared" ref="AF111:AF126" si="184">EXP(-$AA111)*POWER($AA111,1)</f>
        <v>2.5946292936889358E-3</v>
      </c>
      <c r="AG111" s="65">
        <f t="shared" si="175"/>
        <v>6.908750400967812E-5</v>
      </c>
      <c r="AH111" s="65">
        <f t="shared" ref="AH111:AH126" si="185">EXP(-$AA111)*POWER($AA111,2)/FACT(2)</f>
        <v>3.3748183877658082E-6</v>
      </c>
      <c r="AI111" s="65">
        <f t="shared" si="176"/>
        <v>2.7230815810488435E-7</v>
      </c>
      <c r="AJ111" s="65">
        <f t="shared" ref="AJ111:AJ126" si="186">EXP(-$AA111)*POWER($AA111,3)/FACT(3)</f>
        <v>2.9264037006764423E-9</v>
      </c>
      <c r="AK111" s="65">
        <f t="shared" si="177"/>
        <v>8.0497624751453401E-10</v>
      </c>
      <c r="AL111" s="65">
        <f t="shared" ref="AL111:AL126" si="187">EXP(-$AA111)*POWER($AA111,4)/FACT(4)</f>
        <v>1.9031776606952905E-12</v>
      </c>
      <c r="AM111" s="65">
        <f t="shared" si="178"/>
        <v>1.9036866572700969E-12</v>
      </c>
      <c r="AN111" s="65">
        <f t="shared" ref="AN111:AN126" si="188">EXP(-$AA111)*POWER($AA111,5)/FACT(5)</f>
        <v>9.9018059807191956E-16</v>
      </c>
    </row>
    <row r="112" spans="2:40" x14ac:dyDescent="0.3">
      <c r="B112" s="62">
        <f t="shared" si="137"/>
        <v>4172</v>
      </c>
      <c r="C112" s="63">
        <v>1470</v>
      </c>
      <c r="D112" s="64">
        <f t="shared" si="103"/>
        <v>6.7912765199999994</v>
      </c>
      <c r="E112" s="65">
        <f t="shared" si="104"/>
        <v>8.1091029311505434</v>
      </c>
      <c r="F112" s="65">
        <f t="shared" si="138"/>
        <v>8.1091029311505434</v>
      </c>
      <c r="G112" s="65">
        <f t="shared" si="139"/>
        <v>1.7840026448531194</v>
      </c>
      <c r="H112" s="65">
        <f t="shared" si="105"/>
        <v>3.007885802659822E-4</v>
      </c>
      <c r="U112" s="68"/>
      <c r="V112" s="62">
        <f t="shared" si="179"/>
        <v>1251</v>
      </c>
      <c r="W112" s="63">
        <v>90</v>
      </c>
      <c r="X112" s="62">
        <f t="shared" si="172"/>
        <v>2.5456679999999999E-2</v>
      </c>
      <c r="Y112" s="65">
        <f t="shared" si="180"/>
        <v>2.6605101654135335E-2</v>
      </c>
      <c r="Z112" s="65">
        <f t="shared" si="181"/>
        <v>2.6605101654135335E-2</v>
      </c>
      <c r="AA112" s="65">
        <f t="shared" si="182"/>
        <v>5.8531223639097726E-3</v>
      </c>
      <c r="AB112" s="65">
        <f t="shared" si="173"/>
        <v>0.97374569617379991</v>
      </c>
      <c r="AC112" s="65">
        <f t="shared" si="183"/>
        <v>2.6254303825718587E-2</v>
      </c>
      <c r="AD112" s="65">
        <f t="shared" si="183"/>
        <v>5.8360262147536162E-3</v>
      </c>
      <c r="AE112" s="65">
        <f t="shared" si="174"/>
        <v>2.5906603231980727E-2</v>
      </c>
      <c r="AF112" s="65">
        <f t="shared" si="184"/>
        <v>5.8189633883558344E-3</v>
      </c>
      <c r="AG112" s="65">
        <f t="shared" si="175"/>
        <v>3.4462390625009917E-4</v>
      </c>
      <c r="AH112" s="65">
        <f t="shared" si="185"/>
        <v>1.7029552371578862E-5</v>
      </c>
      <c r="AI112" s="65">
        <f t="shared" si="176"/>
        <v>3.0562513527430313E-6</v>
      </c>
      <c r="AJ112" s="65">
        <f t="shared" si="186"/>
        <v>3.3225351277820312E-8</v>
      </c>
      <c r="AK112" s="65">
        <f t="shared" si="177"/>
        <v>2.0327969480079245E-8</v>
      </c>
      <c r="AL112" s="65">
        <f t="shared" si="187"/>
        <v>4.861801165324206E-11</v>
      </c>
      <c r="AM112" s="65">
        <f t="shared" si="178"/>
        <v>1.0816553888793378E-10</v>
      </c>
      <c r="AN112" s="65">
        <f t="shared" si="188"/>
        <v>5.6913434259283403E-14</v>
      </c>
    </row>
    <row r="113" spans="2:40" x14ac:dyDescent="0.3">
      <c r="B113" s="62">
        <f t="shared" si="137"/>
        <v>4172</v>
      </c>
      <c r="C113" s="63">
        <v>1500</v>
      </c>
      <c r="D113" s="64">
        <f t="shared" si="103"/>
        <v>7.0712999999999999</v>
      </c>
      <c r="E113" s="65">
        <f t="shared" si="104"/>
        <v>8.4434641099026901</v>
      </c>
      <c r="F113" s="65">
        <f t="shared" si="138"/>
        <v>8.4434641099026901</v>
      </c>
      <c r="G113" s="65">
        <f t="shared" si="139"/>
        <v>1.8575621041785917</v>
      </c>
      <c r="H113" s="65">
        <f t="shared" si="105"/>
        <v>2.153030236279611E-4</v>
      </c>
      <c r="U113" s="38"/>
      <c r="V113" s="62">
        <f t="shared" si="179"/>
        <v>1251</v>
      </c>
      <c r="W113" s="63">
        <v>120</v>
      </c>
      <c r="X113" s="62">
        <f t="shared" si="172"/>
        <v>4.5256320000000003E-2</v>
      </c>
      <c r="Y113" s="65">
        <f t="shared" si="180"/>
        <v>4.7297958496240605E-2</v>
      </c>
      <c r="Z113" s="65">
        <f t="shared" si="181"/>
        <v>4.7297958496240605E-2</v>
      </c>
      <c r="AA113" s="65">
        <f t="shared" si="182"/>
        <v>1.0405550869172935E-2</v>
      </c>
      <c r="AB113" s="65">
        <f t="shared" si="173"/>
        <v>0.95380316149148614</v>
      </c>
      <c r="AC113" s="65">
        <f t="shared" si="183"/>
        <v>4.6196838493581686E-2</v>
      </c>
      <c r="AD113" s="65">
        <f t="shared" si="183"/>
        <v>1.0351600414942569E-2</v>
      </c>
      <c r="AE113" s="65">
        <f t="shared" si="174"/>
        <v>4.5112942345807386E-2</v>
      </c>
      <c r="AF113" s="65">
        <f t="shared" si="184"/>
        <v>1.029783676447788E-2</v>
      </c>
      <c r="AG113" s="65">
        <f t="shared" si="175"/>
        <v>1.0668750373576466E-3</v>
      </c>
      <c r="AH113" s="65">
        <f t="shared" si="185"/>
        <v>5.3577332147606903E-5</v>
      </c>
      <c r="AI113" s="65">
        <f t="shared" si="176"/>
        <v>1.6820337079205705E-5</v>
      </c>
      <c r="AJ113" s="65">
        <f t="shared" si="186"/>
        <v>1.8583388503216602E-7</v>
      </c>
      <c r="AK113" s="65">
        <f t="shared" si="177"/>
        <v>1.988919012662621E-7</v>
      </c>
      <c r="AL113" s="65">
        <f t="shared" si="187"/>
        <v>4.8342598597955964E-10</v>
      </c>
      <c r="AM113" s="65">
        <f t="shared" si="178"/>
        <v>1.8814361782660094E-9</v>
      </c>
      <c r="AN113" s="65">
        <f t="shared" si="188"/>
        <v>1.0060627377180778E-12</v>
      </c>
    </row>
    <row r="114" spans="2:40" x14ac:dyDescent="0.3">
      <c r="B114" s="62">
        <f t="shared" si="137"/>
        <v>4172</v>
      </c>
      <c r="C114" s="63">
        <v>1530</v>
      </c>
      <c r="D114" s="64">
        <f t="shared" si="103"/>
        <v>7.3569805199999996</v>
      </c>
      <c r="E114" s="65">
        <f t="shared" si="104"/>
        <v>8.7845800599427584</v>
      </c>
      <c r="F114" s="65">
        <f t="shared" si="138"/>
        <v>8.7845800599427584</v>
      </c>
      <c r="G114" s="65">
        <f t="shared" si="139"/>
        <v>1.9326076131874066</v>
      </c>
      <c r="H114" s="65">
        <f t="shared" si="105"/>
        <v>1.5307538278862504E-4</v>
      </c>
      <c r="U114" s="76"/>
      <c r="V114" s="62">
        <f t="shared" si="179"/>
        <v>1251</v>
      </c>
      <c r="W114" s="63">
        <v>150</v>
      </c>
      <c r="X114" s="62">
        <f t="shared" si="172"/>
        <v>7.0712999999999998E-2</v>
      </c>
      <c r="Y114" s="65">
        <f t="shared" si="180"/>
        <v>7.390306015037594E-2</v>
      </c>
      <c r="Z114" s="65">
        <f t="shared" si="181"/>
        <v>7.390306015037594E-2</v>
      </c>
      <c r="AA114" s="65">
        <f t="shared" si="182"/>
        <v>1.6258673233082707E-2</v>
      </c>
      <c r="AB114" s="65">
        <f t="shared" si="173"/>
        <v>0.92876172349929853</v>
      </c>
      <c r="AC114" s="65">
        <f t="shared" si="183"/>
        <v>7.1238276288303828E-2</v>
      </c>
      <c r="AD114" s="65">
        <f t="shared" si="183"/>
        <v>1.6127214418286417E-2</v>
      </c>
      <c r="AE114" s="65">
        <f t="shared" si="174"/>
        <v>6.8638333517135483E-2</v>
      </c>
      <c r="AF114" s="65">
        <f t="shared" si="184"/>
        <v>1.5996466123695516E-2</v>
      </c>
      <c r="AG114" s="65">
        <f t="shared" si="175"/>
        <v>2.5362914452692147E-3</v>
      </c>
      <c r="AH114" s="65">
        <f t="shared" si="185"/>
        <v>1.3004065779462131E-4</v>
      </c>
      <c r="AI114" s="65">
        <f t="shared" si="176"/>
        <v>6.2479899746204905E-5</v>
      </c>
      <c r="AJ114" s="65">
        <f t="shared" si="186"/>
        <v>7.0476285403262585E-7</v>
      </c>
      <c r="AK114" s="65">
        <f t="shared" si="177"/>
        <v>1.1543639472833097E-6</v>
      </c>
      <c r="AL114" s="65">
        <f t="shared" si="187"/>
        <v>2.864627237632808E-9</v>
      </c>
      <c r="AM114" s="65">
        <f t="shared" si="178"/>
        <v>1.7062205646300767E-8</v>
      </c>
      <c r="AN114" s="65">
        <f t="shared" si="188"/>
        <v>9.3150076382520386E-12</v>
      </c>
    </row>
    <row r="115" spans="2:40" x14ac:dyDescent="0.3">
      <c r="B115" s="62">
        <f t="shared" si="137"/>
        <v>4172</v>
      </c>
      <c r="C115" s="63">
        <v>1560</v>
      </c>
      <c r="D115" s="64">
        <f t="shared" si="103"/>
        <v>7.6483180799999992</v>
      </c>
      <c r="E115" s="65">
        <f t="shared" si="104"/>
        <v>9.1324507812707481</v>
      </c>
      <c r="F115" s="65">
        <f t="shared" si="138"/>
        <v>9.1324507812707481</v>
      </c>
      <c r="G115" s="65">
        <f t="shared" si="139"/>
        <v>2.0091391718795641</v>
      </c>
      <c r="H115" s="65">
        <f t="shared" si="105"/>
        <v>1.0810032992693157E-4</v>
      </c>
      <c r="U115" s="76"/>
      <c r="V115" s="62">
        <f t="shared" si="179"/>
        <v>1251</v>
      </c>
      <c r="W115" s="73">
        <v>180</v>
      </c>
      <c r="X115" s="62">
        <f t="shared" si="172"/>
        <v>0.10182672</v>
      </c>
      <c r="Y115" s="65">
        <f t="shared" si="180"/>
        <v>0.10642040661654134</v>
      </c>
      <c r="Z115" s="65">
        <f t="shared" si="181"/>
        <v>0.10642040661654134</v>
      </c>
      <c r="AA115" s="65">
        <f t="shared" si="182"/>
        <v>2.3412489455639091E-2</v>
      </c>
      <c r="AB115" s="65">
        <f t="shared" si="173"/>
        <v>0.89904660347458643</v>
      </c>
      <c r="AC115" s="74">
        <f t="shared" si="183"/>
        <v>0.10095339468362574</v>
      </c>
      <c r="AD115" s="65">
        <f t="shared" si="183"/>
        <v>2.3140543568467911E-2</v>
      </c>
      <c r="AE115" s="65">
        <f t="shared" si="174"/>
        <v>9.5676905108985896E-2</v>
      </c>
      <c r="AF115" s="65">
        <f t="shared" si="184"/>
        <v>2.2870711723339331E-2</v>
      </c>
      <c r="AG115" s="65">
        <f t="shared" si="175"/>
        <v>5.0909875727552607E-3</v>
      </c>
      <c r="AH115" s="65">
        <f t="shared" si="185"/>
        <v>2.6773014853282172E-4</v>
      </c>
      <c r="AI115" s="65">
        <f t="shared" si="176"/>
        <v>1.8059498919079122E-4</v>
      </c>
      <c r="AJ115" s="65">
        <f t="shared" si="186"/>
        <v>2.0894097598271253E-6</v>
      </c>
      <c r="AK115" s="65">
        <f t="shared" si="177"/>
        <v>4.8047480456484728E-6</v>
      </c>
      <c r="AL115" s="65">
        <f t="shared" si="187"/>
        <v>1.2229570992615496E-8</v>
      </c>
      <c r="AM115" s="65">
        <f t="shared" si="178"/>
        <v>1.0226464814158855E-7</v>
      </c>
      <c r="AN115" s="65">
        <f t="shared" si="188"/>
        <v>5.726494038231999E-11</v>
      </c>
    </row>
    <row r="116" spans="2:40" x14ac:dyDescent="0.3">
      <c r="B116" s="62">
        <f t="shared" si="137"/>
        <v>4172</v>
      </c>
      <c r="C116" s="63">
        <v>1590</v>
      </c>
      <c r="D116" s="64">
        <f t="shared" si="103"/>
        <v>7.9453126799999998</v>
      </c>
      <c r="E116" s="65">
        <f>B116/(3494/$D116)</f>
        <v>9.4870762738866627</v>
      </c>
      <c r="F116" s="65">
        <f t="shared" si="138"/>
        <v>9.4870762738866627</v>
      </c>
      <c r="G116" s="65">
        <f t="shared" si="139"/>
        <v>2.0871567802550652</v>
      </c>
      <c r="H116" s="65">
        <f t="shared" si="105"/>
        <v>7.5825472429359169E-5</v>
      </c>
      <c r="U116" s="76"/>
      <c r="V116" s="62">
        <f t="shared" si="179"/>
        <v>1251</v>
      </c>
      <c r="W116" s="63">
        <v>210</v>
      </c>
      <c r="X116" s="62">
        <f t="shared" si="172"/>
        <v>0.13859748</v>
      </c>
      <c r="Y116" s="65">
        <f t="shared" si="180"/>
        <v>0.14484999789473682</v>
      </c>
      <c r="Z116" s="65">
        <f t="shared" si="181"/>
        <v>0.14484999789473682</v>
      </c>
      <c r="AA116" s="65">
        <f t="shared" si="182"/>
        <v>3.1866999536842092E-2</v>
      </c>
      <c r="AB116" s="65">
        <f t="shared" si="173"/>
        <v>0.86515205800806805</v>
      </c>
      <c r="AC116" s="65">
        <f t="shared" si="183"/>
        <v>0.13484793065937328</v>
      </c>
      <c r="AD116" s="65">
        <f t="shared" si="183"/>
        <v>3.1364597529003176E-2</v>
      </c>
      <c r="AE116" s="65">
        <f t="shared" si="174"/>
        <v>0.12531727378109589</v>
      </c>
      <c r="AF116" s="65">
        <f>EXP(-$AA116)*POWER($AA116,1)</f>
        <v>3.0867503921867004E-2</v>
      </c>
      <c r="AG116" s="65">
        <f t="shared" si="175"/>
        <v>9.0761034216829475E-3</v>
      </c>
      <c r="AH116" s="65">
        <f t="shared" si="185"/>
        <v>4.9182736659080374E-4</v>
      </c>
      <c r="AI116" s="65">
        <f t="shared" si="176"/>
        <v>4.3822452050772961E-4</v>
      </c>
      <c r="AJ116" s="65">
        <f t="shared" si="186"/>
        <v>5.224354154451803E-6</v>
      </c>
      <c r="AK116" s="65">
        <f t="shared" si="177"/>
        <v>1.5869205218241668E-5</v>
      </c>
      <c r="AL116" s="65">
        <f t="shared" si="187"/>
        <v>4.1621122855053673E-8</v>
      </c>
      <c r="AM116" s="65">
        <f t="shared" si="178"/>
        <v>4.597308684906904E-7</v>
      </c>
      <c r="AN116" s="65">
        <f t="shared" si="188"/>
        <v>2.652680605489686E-10</v>
      </c>
    </row>
    <row r="117" spans="2:40" x14ac:dyDescent="0.3">
      <c r="B117" s="62">
        <f t="shared" si="137"/>
        <v>4172</v>
      </c>
      <c r="C117" s="63">
        <v>1620</v>
      </c>
      <c r="D117" s="64">
        <f t="shared" si="103"/>
        <v>8.2479643199999995</v>
      </c>
      <c r="E117" s="65">
        <f>B117/(3494/$D117)</f>
        <v>9.8484565377904971</v>
      </c>
      <c r="F117" s="65">
        <f t="shared" si="138"/>
        <v>9.8484565377904971</v>
      </c>
      <c r="G117" s="65">
        <f t="shared" si="139"/>
        <v>2.166660438313909</v>
      </c>
      <c r="H117" s="65">
        <f t="shared" si="105"/>
        <v>5.2828669176103164E-5</v>
      </c>
      <c r="U117" s="76"/>
      <c r="V117" s="62">
        <f t="shared" si="179"/>
        <v>1251</v>
      </c>
      <c r="W117" s="63">
        <v>240</v>
      </c>
      <c r="X117" s="62">
        <f t="shared" si="172"/>
        <v>0.18102528000000001</v>
      </c>
      <c r="Y117" s="65">
        <f t="shared" si="180"/>
        <v>0.18919183398496242</v>
      </c>
      <c r="Z117" s="65">
        <f t="shared" si="181"/>
        <v>0.18919183398496242</v>
      </c>
      <c r="AA117" s="65">
        <f t="shared" si="182"/>
        <v>4.1622203476691738E-2</v>
      </c>
      <c r="AB117" s="65">
        <f t="shared" si="173"/>
        <v>0.82762772434086906</v>
      </c>
      <c r="AC117" s="65">
        <f t="shared" si="183"/>
        <v>0.17237222148713016</v>
      </c>
      <c r="AD117" s="65">
        <f t="shared" si="183"/>
        <v>4.0767893312679097E-2</v>
      </c>
      <c r="AE117" s="65">
        <f t="shared" si="174"/>
        <v>0.15658040702484993</v>
      </c>
      <c r="AF117" s="65">
        <f t="shared" si="184"/>
        <v>3.9925353925625309E-2</v>
      </c>
      <c r="AG117" s="65">
        <f t="shared" si="175"/>
        <v>1.4811867185571627E-2</v>
      </c>
      <c r="AH117" s="65">
        <f t="shared" si="185"/>
        <v>8.3089060248565493E-4</v>
      </c>
      <c r="AI117" s="65">
        <f t="shared" si="176"/>
        <v>9.3409477252666005E-4</v>
      </c>
      <c r="AJ117" s="65">
        <f t="shared" si="186"/>
        <v>1.1527832574509642E-5</v>
      </c>
      <c r="AK117" s="65">
        <f t="shared" si="177"/>
        <v>4.4180775782521279E-5</v>
      </c>
      <c r="AL117" s="65">
        <f t="shared" si="187"/>
        <v>1.1995344826536886E-7</v>
      </c>
      <c r="AM117" s="65">
        <f t="shared" si="178"/>
        <v>1.6717283994347225E-6</v>
      </c>
      <c r="AN117" s="65">
        <f t="shared" si="188"/>
        <v>9.9854536628639982E-10</v>
      </c>
    </row>
    <row r="118" spans="2:40" x14ac:dyDescent="0.3">
      <c r="B118" s="62">
        <f t="shared" si="137"/>
        <v>4172</v>
      </c>
      <c r="C118" s="63">
        <v>1650</v>
      </c>
      <c r="D118" s="64">
        <f t="shared" si="103"/>
        <v>8.5562729999999991</v>
      </c>
      <c r="E118" s="65">
        <f>B118/(3494/$D118)</f>
        <v>10.216591572982255</v>
      </c>
      <c r="F118" s="65">
        <f t="shared" si="138"/>
        <v>10.216591572982255</v>
      </c>
      <c r="G118" s="65">
        <f t="shared" si="139"/>
        <v>2.2476501460560954</v>
      </c>
      <c r="H118" s="65">
        <f t="shared" si="105"/>
        <v>3.6558692579138196E-5</v>
      </c>
      <c r="U118" s="76"/>
      <c r="V118" s="62">
        <f t="shared" si="179"/>
        <v>1251</v>
      </c>
      <c r="W118" s="63">
        <v>270</v>
      </c>
      <c r="X118" s="62">
        <f t="shared" si="172"/>
        <v>0.22911012</v>
      </c>
      <c r="Y118" s="65">
        <f t="shared" si="180"/>
        <v>0.23944591488721803</v>
      </c>
      <c r="Z118" s="65">
        <f t="shared" si="181"/>
        <v>0.23944591488721803</v>
      </c>
      <c r="AA118" s="65">
        <f t="shared" si="182"/>
        <v>5.2678101275187961E-2</v>
      </c>
      <c r="AB118" s="65">
        <f t="shared" si="173"/>
        <v>0.78706384062740775</v>
      </c>
      <c r="AC118" s="65">
        <f t="shared" si="183"/>
        <v>0.21293594608245456</v>
      </c>
      <c r="AD118" s="65">
        <f t="shared" si="183"/>
        <v>5.1314656032410477E-2</v>
      </c>
      <c r="AE118" s="65">
        <f t="shared" si="174"/>
        <v>0.18845922139367721</v>
      </c>
      <c r="AF118" s="65">
        <f t="shared" si="184"/>
        <v>4.9974942626316764E-2</v>
      </c>
      <c r="AG118" s="65">
        <f t="shared" si="175"/>
        <v>2.2562895342770908E-2</v>
      </c>
      <c r="AH118" s="65">
        <f t="shared" si="185"/>
        <v>1.3162925444454112E-3</v>
      </c>
      <c r="AI118" s="65">
        <f t="shared" si="176"/>
        <v>1.8008643726181103E-3</v>
      </c>
      <c r="AJ118" s="65">
        <f t="shared" si="186"/>
        <v>2.3113263988023407E-5</v>
      </c>
      <c r="AK118" s="65">
        <f t="shared" si="177"/>
        <v>1.0780240432233484E-4</v>
      </c>
      <c r="AL118" s="65">
        <f t="shared" si="187"/>
        <v>3.0439071529031296E-7</v>
      </c>
      <c r="AM118" s="65">
        <f t="shared" si="178"/>
        <v>5.1625690660006511E-6</v>
      </c>
      <c r="AN118" s="65">
        <f t="shared" si="188"/>
        <v>3.2069449854580023E-9</v>
      </c>
    </row>
    <row r="119" spans="2:40" x14ac:dyDescent="0.3">
      <c r="U119" s="76"/>
      <c r="V119" s="62">
        <f t="shared" si="179"/>
        <v>1251</v>
      </c>
      <c r="W119" s="63">
        <v>300</v>
      </c>
      <c r="X119" s="62">
        <f t="shared" si="172"/>
        <v>0.28285199999999999</v>
      </c>
      <c r="Y119" s="65">
        <f t="shared" si="180"/>
        <v>0.29561224060150376</v>
      </c>
      <c r="Z119" s="65">
        <f t="shared" si="181"/>
        <v>0.29561224060150376</v>
      </c>
      <c r="AA119" s="65">
        <f t="shared" si="182"/>
        <v>6.5034692932330829E-2</v>
      </c>
      <c r="AB119" s="65">
        <f t="shared" si="173"/>
        <v>0.74407589451005962</v>
      </c>
      <c r="AC119" s="65">
        <f t="shared" si="183"/>
        <v>0.25592338561898137</v>
      </c>
      <c r="AD119" s="65">
        <f t="shared" si="183"/>
        <v>6.2965045577382417E-2</v>
      </c>
      <c r="AE119" s="65">
        <f t="shared" si="174"/>
        <v>0.21995794235368687</v>
      </c>
      <c r="AF119" s="65">
        <f t="shared" si="184"/>
        <v>6.093978052127174E-2</v>
      </c>
      <c r="AG119" s="65">
        <f t="shared" si="175"/>
        <v>3.251113008863489E-2</v>
      </c>
      <c r="AH119" s="65">
        <f t="shared" si="185"/>
        <v>1.981599956782272E-3</v>
      </c>
      <c r="AI119" s="65">
        <f t="shared" si="176"/>
        <v>3.2035626699961086E-3</v>
      </c>
      <c r="AJ119" s="65">
        <f t="shared" si="186"/>
        <v>4.2957581568018361E-5</v>
      </c>
      <c r="AK119" s="65">
        <f t="shared" si="177"/>
        <v>2.3675308469622134E-4</v>
      </c>
      <c r="AL119" s="65">
        <f t="shared" si="187"/>
        <v>6.984332815979073E-7</v>
      </c>
      <c r="AM119" s="65">
        <f t="shared" si="178"/>
        <v>1.3997421967273516E-5</v>
      </c>
      <c r="AN119" s="65">
        <f t="shared" si="188"/>
        <v>9.084478800488011E-9</v>
      </c>
    </row>
    <row r="120" spans="2:40" x14ac:dyDescent="0.3">
      <c r="U120" s="76"/>
      <c r="V120" s="62">
        <f t="shared" si="179"/>
        <v>1251</v>
      </c>
      <c r="W120" s="63">
        <v>330</v>
      </c>
      <c r="X120" s="62">
        <f t="shared" si="172"/>
        <v>0.34225091999999996</v>
      </c>
      <c r="Y120" s="65">
        <f t="shared" si="180"/>
        <v>0.35769081112781947</v>
      </c>
      <c r="Z120" s="65">
        <f t="shared" si="181"/>
        <v>0.35769081112781947</v>
      </c>
      <c r="AA120" s="65">
        <f t="shared" si="182"/>
        <v>7.8691978448120259E-2</v>
      </c>
      <c r="AB120" s="65">
        <f t="shared" si="173"/>
        <v>0.69928925404051234</v>
      </c>
      <c r="AC120" s="65">
        <f t="shared" si="183"/>
        <v>0.30070860308695135</v>
      </c>
      <c r="AD120" s="65">
        <f t="shared" si="183"/>
        <v>7.5675407195387082E-2</v>
      </c>
      <c r="AE120" s="65">
        <f t="shared" si="174"/>
        <v>0.25012934049071867</v>
      </c>
      <c r="AF120" s="65">
        <f t="shared" si="184"/>
        <v>7.2736930911787165E-2</v>
      </c>
      <c r="AG120" s="65">
        <f t="shared" si="175"/>
        <v>4.4734483343495855E-2</v>
      </c>
      <c r="AH120" s="65">
        <f t="shared" si="185"/>
        <v>2.8619064998463839E-3</v>
      </c>
      <c r="AI120" s="65">
        <f t="shared" si="176"/>
        <v>5.3337045441729869E-3</v>
      </c>
      <c r="AJ120" s="65">
        <f t="shared" si="186"/>
        <v>7.506969486881564E-5</v>
      </c>
      <c r="AK120" s="65">
        <f t="shared" si="177"/>
        <v>4.7695427618034311E-4</v>
      </c>
      <c r="AL120" s="65">
        <f t="shared" si="187"/>
        <v>1.4768457026809511E-6</v>
      </c>
      <c r="AM120" s="65">
        <f t="shared" si="178"/>
        <v>3.4120432383565792E-5</v>
      </c>
      <c r="AN120" s="65">
        <f t="shared" si="188"/>
        <v>2.3243182041313691E-8</v>
      </c>
    </row>
    <row r="121" spans="2:40" x14ac:dyDescent="0.3">
      <c r="U121" s="76"/>
      <c r="V121" s="62">
        <f t="shared" si="179"/>
        <v>1251</v>
      </c>
      <c r="W121" s="63">
        <v>360</v>
      </c>
      <c r="X121" s="62">
        <f t="shared" si="172"/>
        <v>0.40730687999999998</v>
      </c>
      <c r="Y121" s="65">
        <f t="shared" si="180"/>
        <v>0.42568162646616536</v>
      </c>
      <c r="Z121" s="65">
        <f t="shared" si="181"/>
        <v>0.42568162646616536</v>
      </c>
      <c r="AA121" s="65">
        <f t="shared" si="182"/>
        <v>9.3649957822556362E-2</v>
      </c>
      <c r="AB121" s="65">
        <f t="shared" si="173"/>
        <v>0.65332431018252846</v>
      </c>
      <c r="AC121" s="65">
        <f t="shared" si="183"/>
        <v>0.34666994426253717</v>
      </c>
      <c r="AD121" s="65">
        <f t="shared" si="183"/>
        <v>8.9398543759552834E-2</v>
      </c>
      <c r="AE121" s="65">
        <f t="shared" si="174"/>
        <v>0.27810815496838426</v>
      </c>
      <c r="AF121" s="65">
        <f t="shared" si="184"/>
        <v>8.5277787889094292E-2</v>
      </c>
      <c r="AG121" s="65">
        <f t="shared" si="175"/>
        <v>5.9192765870223089E-2</v>
      </c>
      <c r="AH121" s="65">
        <f t="shared" si="185"/>
        <v>3.9931306195072937E-3</v>
      </c>
      <c r="AI121" s="65">
        <f t="shared" si="176"/>
        <v>8.3990909502224959E-3</v>
      </c>
      <c r="AJ121" s="65">
        <f t="shared" si="186"/>
        <v>1.2465217136560549E-4</v>
      </c>
      <c r="AK121" s="65">
        <f t="shared" si="177"/>
        <v>8.9383467413199061E-4</v>
      </c>
      <c r="AL121" s="65">
        <f t="shared" si="187"/>
        <v>2.9184176477197557E-6</v>
      </c>
      <c r="AM121" s="65">
        <f t="shared" si="178"/>
        <v>7.6097799575272122E-5</v>
      </c>
      <c r="AN121" s="65">
        <f t="shared" si="188"/>
        <v>5.466193792351185E-8</v>
      </c>
    </row>
    <row r="122" spans="2:40" x14ac:dyDescent="0.3">
      <c r="U122" s="76"/>
      <c r="V122" s="62">
        <f t="shared" si="179"/>
        <v>1251</v>
      </c>
      <c r="W122" s="73">
        <v>390</v>
      </c>
      <c r="X122" s="62">
        <f t="shared" si="172"/>
        <v>0.47801987999999995</v>
      </c>
      <c r="Y122" s="65">
        <f t="shared" si="180"/>
        <v>0.49958468661654126</v>
      </c>
      <c r="Z122" s="65">
        <f t="shared" si="181"/>
        <v>0.49958468661654126</v>
      </c>
      <c r="AA122" s="65">
        <f t="shared" si="182"/>
        <v>0.10990863105563908</v>
      </c>
      <c r="AB122" s="65">
        <f t="shared" si="173"/>
        <v>0.60678261232911546</v>
      </c>
      <c r="AC122" s="65">
        <f t="shared" si="183"/>
        <v>0.39320328821011502</v>
      </c>
      <c r="AD122" s="74">
        <f t="shared" si="183"/>
        <v>0.10408400731639664</v>
      </c>
      <c r="AE122" s="65">
        <f t="shared" si="174"/>
        <v>0.30313930122480737</v>
      </c>
      <c r="AF122" s="65">
        <f t="shared" si="184"/>
        <v>9.846890005179304E-2</v>
      </c>
      <c r="AG122" s="65">
        <f t="shared" si="175"/>
        <v>7.5721876401776356E-2</v>
      </c>
      <c r="AH122" s="65">
        <f t="shared" si="185"/>
        <v>5.4112910031235617E-3</v>
      </c>
      <c r="AI122" s="65">
        <f t="shared" si="176"/>
        <v>1.2609829964065969E-2</v>
      </c>
      <c r="AJ122" s="65">
        <f t="shared" si="186"/>
        <v>1.9824919546566888E-4</v>
      </c>
      <c r="AK122" s="65">
        <f t="shared" si="177"/>
        <v>1.5749194877214424E-3</v>
      </c>
      <c r="AL122" s="65">
        <f t="shared" si="187"/>
        <v>5.44732442037837E-6</v>
      </c>
      <c r="AM122" s="65">
        <f t="shared" si="178"/>
        <v>1.5736113174392007E-4</v>
      </c>
      <c r="AN122" s="65">
        <f t="shared" si="188"/>
        <v>1.1974159399194786E-7</v>
      </c>
    </row>
    <row r="123" spans="2:40" x14ac:dyDescent="0.3">
      <c r="U123" s="76"/>
      <c r="V123" s="62">
        <f t="shared" si="179"/>
        <v>1251</v>
      </c>
      <c r="W123" s="63">
        <v>420</v>
      </c>
      <c r="X123" s="62">
        <f t="shared" si="172"/>
        <v>0.55438991999999998</v>
      </c>
      <c r="Y123" s="65">
        <f t="shared" si="180"/>
        <v>0.57939999157894728</v>
      </c>
      <c r="Z123" s="65">
        <f t="shared" si="181"/>
        <v>0.57939999157894728</v>
      </c>
      <c r="AA123" s="65">
        <f t="shared" si="182"/>
        <v>0.12746799814736837</v>
      </c>
      <c r="AB123" s="65">
        <f t="shared" si="173"/>
        <v>0.56023441110497008</v>
      </c>
      <c r="AC123" s="65">
        <f t="shared" si="183"/>
        <v>0.43973352574964336</v>
      </c>
      <c r="AD123" s="65">
        <f t="shared" si="183"/>
        <v>0.11967840735315659</v>
      </c>
      <c r="AE123" s="65">
        <f t="shared" si="174"/>
        <v>0.32459981307645613</v>
      </c>
      <c r="AF123" s="65">
        <f t="shared" si="184"/>
        <v>0.1122128304597018</v>
      </c>
      <c r="AG123" s="65">
        <f t="shared" si="175"/>
        <v>9.4036564481513277E-2</v>
      </c>
      <c r="AH123" s="65">
        <f t="shared" si="185"/>
        <v>7.1517724325741161E-3</v>
      </c>
      <c r="AI123" s="65">
        <f t="shared" si="176"/>
        <v>1.8161594889567308E-2</v>
      </c>
      <c r="AJ123" s="65">
        <f t="shared" si="186"/>
        <v>3.0387403839525251E-4</v>
      </c>
      <c r="AK123" s="65">
        <f t="shared" si="177"/>
        <v>2.630706981518887E-3</v>
      </c>
      <c r="AL123" s="65">
        <f t="shared" si="187"/>
        <v>9.6835538407998483E-6</v>
      </c>
      <c r="AM123" s="65">
        <f t="shared" si="178"/>
        <v>3.0484632058774418E-4</v>
      </c>
      <c r="AN123" s="65">
        <f t="shared" si="188"/>
        <v>2.4686864460780341E-7</v>
      </c>
    </row>
    <row r="124" spans="2:40" x14ac:dyDescent="0.3">
      <c r="U124" s="76"/>
      <c r="V124" s="62">
        <f t="shared" si="179"/>
        <v>1251</v>
      </c>
      <c r="W124" s="63">
        <v>450</v>
      </c>
      <c r="X124" s="62">
        <f t="shared" si="172"/>
        <v>0.63641700000000001</v>
      </c>
      <c r="Y124" s="65">
        <f t="shared" si="180"/>
        <v>0.66512754135338348</v>
      </c>
      <c r="Z124" s="65">
        <f t="shared" si="181"/>
        <v>0.66512754135338348</v>
      </c>
      <c r="AA124" s="65">
        <f t="shared" si="182"/>
        <v>0.14632805909774438</v>
      </c>
      <c r="AB124" s="65">
        <f t="shared" si="173"/>
        <v>0.51420794074751264</v>
      </c>
      <c r="AC124" s="65">
        <f t="shared" si="183"/>
        <v>0.4857238214179378</v>
      </c>
      <c r="AD124" s="65">
        <f t="shared" si="183"/>
        <v>0.13612573308621212</v>
      </c>
      <c r="AE124" s="65">
        <f t="shared" si="174"/>
        <v>0.34201386337377937</v>
      </c>
      <c r="AF124" s="65">
        <f t="shared" si="184"/>
        <v>0.1264090430217833</v>
      </c>
      <c r="AG124" s="65">
        <f t="shared" si="175"/>
        <v>0.11374142002728695</v>
      </c>
      <c r="AH124" s="65">
        <f t="shared" si="185"/>
        <v>9.2485949588904087E-3</v>
      </c>
      <c r="AI124" s="65">
        <f t="shared" si="176"/>
        <v>2.5217517017597283E-2</v>
      </c>
      <c r="AJ124" s="65">
        <f t="shared" si="186"/>
        <v>4.5110964990520555E-4</v>
      </c>
      <c r="AK124" s="65">
        <f t="shared" si="177"/>
        <v>4.1932162732378981E-3</v>
      </c>
      <c r="AL124" s="65">
        <f t="shared" si="187"/>
        <v>1.6502499877722923E-5</v>
      </c>
      <c r="AM124" s="65">
        <f t="shared" si="178"/>
        <v>5.5780472603634407E-4</v>
      </c>
      <c r="AN124" s="65">
        <f t="shared" si="188"/>
        <v>4.8295575547359188E-7</v>
      </c>
    </row>
    <row r="125" spans="2:40" x14ac:dyDescent="0.3">
      <c r="U125" s="76"/>
      <c r="V125" s="62">
        <f t="shared" si="179"/>
        <v>1251</v>
      </c>
      <c r="W125" s="63">
        <v>480</v>
      </c>
      <c r="X125" s="62">
        <f t="shared" si="172"/>
        <v>0.72410112000000004</v>
      </c>
      <c r="Y125" s="65">
        <f t="shared" si="180"/>
        <v>0.75676733593984968</v>
      </c>
      <c r="Z125" s="65">
        <f t="shared" si="181"/>
        <v>0.75676733593984968</v>
      </c>
      <c r="AA125" s="65">
        <f t="shared" si="182"/>
        <v>0.16648881390676695</v>
      </c>
      <c r="AB125" s="65">
        <f t="shared" si="173"/>
        <v>0.46918068168029053</v>
      </c>
      <c r="AC125" s="65">
        <f t="shared" si="183"/>
        <v>0.53068231999589877</v>
      </c>
      <c r="AD125" s="65">
        <f t="shared" si="183"/>
        <v>0.15336768695938111</v>
      </c>
      <c r="AE125" s="65">
        <f t="shared" si="174"/>
        <v>0.35506061454963611</v>
      </c>
      <c r="AF125" s="65">
        <f t="shared" si="184"/>
        <v>0.14095480534276272</v>
      </c>
      <c r="AG125" s="65">
        <f t="shared" si="175"/>
        <v>0.13434913768494697</v>
      </c>
      <c r="AH125" s="65">
        <f t="shared" si="185"/>
        <v>1.1733699177987894E-2</v>
      </c>
      <c r="AI125" s="65">
        <f t="shared" si="176"/>
        <v>3.3890346337217797E-2</v>
      </c>
      <c r="AJ125" s="65">
        <f t="shared" si="186"/>
        <v>6.5117655296067025E-4</v>
      </c>
      <c r="AK125" s="65">
        <f t="shared" si="177"/>
        <v>6.4117767779237889E-3</v>
      </c>
      <c r="AL125" s="65">
        <f t="shared" si="187"/>
        <v>2.7103402986579753E-5</v>
      </c>
      <c r="AM125" s="65">
        <f t="shared" si="178"/>
        <v>9.7044464617407572E-4</v>
      </c>
      <c r="AN125" s="65">
        <f t="shared" si="188"/>
        <v>9.0248268321455759E-7</v>
      </c>
    </row>
    <row r="126" spans="2:40" x14ac:dyDescent="0.3">
      <c r="U126" s="76"/>
      <c r="V126" s="62">
        <f t="shared" si="179"/>
        <v>1251</v>
      </c>
      <c r="W126" s="63">
        <v>510</v>
      </c>
      <c r="X126" s="62">
        <f t="shared" si="172"/>
        <v>0.81744227999999997</v>
      </c>
      <c r="Y126" s="65">
        <f t="shared" si="180"/>
        <v>0.85431937533834579</v>
      </c>
      <c r="Z126" s="65">
        <f t="shared" si="181"/>
        <v>0.85431937533834579</v>
      </c>
      <c r="AA126" s="65">
        <f t="shared" si="182"/>
        <v>0.18795026257443603</v>
      </c>
      <c r="AB126" s="65">
        <f t="shared" si="173"/>
        <v>0.42557274783886839</v>
      </c>
      <c r="AC126" s="65">
        <f>SUM(AE126,AG126,AI126,AK126,AM126)</f>
        <v>0.57416609270475538</v>
      </c>
      <c r="AD126" s="65">
        <f>SUM(AF126,AH126,AJ126,AL126,AN126)</f>
        <v>0.17134402645113656</v>
      </c>
      <c r="AE126" s="65">
        <f t="shared" si="174"/>
        <v>0.36357504409472541</v>
      </c>
      <c r="AF126" s="65">
        <f t="shared" si="184"/>
        <v>0.1557460980147386</v>
      </c>
      <c r="AG126" s="65">
        <f t="shared" si="175"/>
        <v>0.15530460227980866</v>
      </c>
      <c r="AH126" s="65">
        <f t="shared" si="185"/>
        <v>1.4636260008406985E-2</v>
      </c>
      <c r="AI126" s="65">
        <f t="shared" si="176"/>
        <v>4.4226576935618794E-2</v>
      </c>
      <c r="AJ126" s="65">
        <f t="shared" si="186"/>
        <v>9.1696297056260338E-4</v>
      </c>
      <c r="AK126" s="65">
        <f t="shared" si="177"/>
        <v>9.4459053952477851E-3</v>
      </c>
      <c r="AL126" s="65">
        <f t="shared" si="187"/>
        <v>4.3085857772069037E-5</v>
      </c>
      <c r="AM126" s="65">
        <f t="shared" si="178"/>
        <v>1.6139639993546393E-3</v>
      </c>
      <c r="AN126" s="65">
        <f t="shared" si="188"/>
        <v>1.6195996563010363E-6</v>
      </c>
    </row>
    <row r="127" spans="2:40" x14ac:dyDescent="0.3">
      <c r="U127" s="38"/>
      <c r="V127" s="38"/>
      <c r="W127" s="38"/>
      <c r="X127" s="38"/>
      <c r="Y127" s="38"/>
      <c r="Z127" s="38"/>
      <c r="AA127" s="38"/>
      <c r="AB127" s="38"/>
      <c r="AC127" s="38"/>
      <c r="AD127" s="38"/>
      <c r="AE127" s="38"/>
      <c r="AF127" s="38"/>
      <c r="AG127" s="38"/>
      <c r="AH127" s="38"/>
      <c r="AI127" s="38"/>
      <c r="AJ127" s="38"/>
      <c r="AK127" s="38"/>
      <c r="AL127" s="38"/>
      <c r="AM127" s="38"/>
      <c r="AN127" s="38"/>
    </row>
    <row r="128" spans="2:40" ht="15.6" x14ac:dyDescent="0.3">
      <c r="U128" s="1383" t="s">
        <v>392</v>
      </c>
      <c r="V128" s="1383"/>
      <c r="W128" s="1383"/>
      <c r="X128" s="1383"/>
      <c r="Y128" s="1383"/>
      <c r="Z128" s="1383"/>
      <c r="AA128" s="1383"/>
      <c r="AB128" s="1383"/>
      <c r="AC128" s="1383"/>
      <c r="AD128" s="1383"/>
      <c r="AE128" s="1383"/>
      <c r="AF128" s="1383"/>
      <c r="AG128" s="1383"/>
      <c r="AH128" s="1383"/>
      <c r="AI128" s="1383"/>
      <c r="AJ128" s="1383"/>
      <c r="AK128" s="1383"/>
      <c r="AL128" s="1383"/>
      <c r="AM128" s="1383"/>
      <c r="AN128" s="981"/>
    </row>
    <row r="129" spans="21:40" ht="80.400000000000006" thickBot="1" x14ac:dyDescent="0.35">
      <c r="U129" s="57"/>
      <c r="V129" s="58" t="s">
        <v>362</v>
      </c>
      <c r="W129" s="58" t="s">
        <v>363</v>
      </c>
      <c r="X129" s="59" t="s">
        <v>364</v>
      </c>
      <c r="Y129" s="57" t="s">
        <v>365</v>
      </c>
      <c r="Z129" s="52" t="s">
        <v>366</v>
      </c>
      <c r="AA129" s="52" t="s">
        <v>367</v>
      </c>
      <c r="AB129" s="60" t="s">
        <v>368</v>
      </c>
      <c r="AC129" s="57" t="s">
        <v>382</v>
      </c>
      <c r="AD129" s="57" t="s">
        <v>383</v>
      </c>
      <c r="AE129" s="60" t="s">
        <v>371</v>
      </c>
      <c r="AF129" s="60" t="s">
        <v>372</v>
      </c>
      <c r="AG129" s="60" t="s">
        <v>373</v>
      </c>
      <c r="AH129" s="60" t="s">
        <v>374</v>
      </c>
      <c r="AI129" s="60" t="s">
        <v>375</v>
      </c>
      <c r="AJ129" s="60" t="s">
        <v>376</v>
      </c>
      <c r="AK129" s="60" t="s">
        <v>377</v>
      </c>
      <c r="AL129" s="60" t="s">
        <v>378</v>
      </c>
      <c r="AM129" s="60" t="s">
        <v>379</v>
      </c>
      <c r="AN129" s="60" t="s">
        <v>380</v>
      </c>
    </row>
    <row r="130" spans="21:40" ht="15" thickTop="1" x14ac:dyDescent="0.3">
      <c r="U130" s="68"/>
      <c r="V130" s="62">
        <f>ROUNDUP(($G$4/$O$13),0)</f>
        <v>588</v>
      </c>
      <c r="W130" s="63">
        <v>30</v>
      </c>
      <c r="X130" s="86">
        <f t="shared" ref="X130:X150" si="189">((W130^2)*3.1428)/1000000</f>
        <v>2.8285200000000002E-3</v>
      </c>
      <c r="Y130" s="65">
        <f>V130/(1197/$X130)</f>
        <v>1.3894484210526317E-3</v>
      </c>
      <c r="Z130" s="65">
        <f>1*$Y130</f>
        <v>1.3894484210526317E-3</v>
      </c>
      <c r="AA130" s="65">
        <f>1*($Y130-($Y130*0.78))</f>
        <v>3.0567865263157897E-4</v>
      </c>
      <c r="AB130" s="65">
        <f t="shared" ref="AB130:AB150" si="190">EXP(-$Z130)</f>
        <v>0.99861151641548951</v>
      </c>
      <c r="AC130" s="65">
        <f>SUM(AE130,AG130,AI130,AK130,AM130)</f>
        <v>1.388483584510522E-3</v>
      </c>
      <c r="AD130" s="65">
        <f>SUM(AF130,AH130,AJ130,AL130,AN130)</f>
        <v>3.0563193767228482E-4</v>
      </c>
      <c r="AE130" s="65">
        <f t="shared" ref="AE130:AE150" si="191">EXP(-$Z130)*POWER($Z130,1)</f>
        <v>1.3875191947284762E-3</v>
      </c>
      <c r="AF130" s="65">
        <f>EXP(-$AA130)*POWER($AA130,1)</f>
        <v>3.0558522747267013E-4</v>
      </c>
      <c r="AG130" s="65">
        <f t="shared" ref="AG130:AG150" si="192">EXP(-$Z130)*POWER($Z130,2)/FACT(2)</f>
        <v>9.6394317714785026E-7</v>
      </c>
      <c r="AH130" s="65">
        <f>EXP(-$AA130)*POWER($AA130,2)/FACT(2)</f>
        <v>4.6705440298980186E-8</v>
      </c>
      <c r="AI130" s="65">
        <f t="shared" ref="AI130:AI150" si="193">EXP(-$Z130)*POWER($Z130,3)/FACT(3)</f>
        <v>4.4644977515751253E-10</v>
      </c>
      <c r="AJ130" s="65">
        <f>EXP(-$AA130)*POWER($AA130,3)/FACT(3)</f>
        <v>4.7589520203856384E-12</v>
      </c>
      <c r="AK130" s="65">
        <f t="shared" ref="AK130:AK150" si="194">EXP(-$Z130)*POWER($Z130,4)/FACT(4)</f>
        <v>1.5507973379297709E-13</v>
      </c>
      <c r="AL130" s="65">
        <f>EXP(-$AA130)*POWER($AA130,4)/FACT(4)</f>
        <v>3.6367751038245301E-16</v>
      </c>
      <c r="AM130" s="65">
        <f t="shared" ref="AM130:AM150" si="195">EXP(-$Z130)*POWER($Z130,5)/FACT(5)</f>
        <v>4.309505825118289E-17</v>
      </c>
      <c r="AN130" s="65">
        <f>EXP(-$AA130)*POWER($AA130,5)/FACT(5)</f>
        <v>2.2233690273223064E-20</v>
      </c>
    </row>
    <row r="131" spans="21:40" x14ac:dyDescent="0.3">
      <c r="U131" s="68"/>
      <c r="V131" s="62">
        <f t="shared" ref="V131:V150" si="196">ROUNDUP(($G$4/$O$13),0)</f>
        <v>588</v>
      </c>
      <c r="W131" s="63">
        <v>60</v>
      </c>
      <c r="X131" s="86">
        <f t="shared" si="189"/>
        <v>1.1314080000000001E-2</v>
      </c>
      <c r="Y131" s="65">
        <f t="shared" ref="Y131:Y146" si="197">V131/(1197/$X131)</f>
        <v>5.5577936842105269E-3</v>
      </c>
      <c r="Z131" s="65">
        <f t="shared" ref="Z131:Z150" si="198">1*$Y131</f>
        <v>5.5577936842105269E-3</v>
      </c>
      <c r="AA131" s="65">
        <f t="shared" ref="AA131:AA150" si="199">1*($Y131-($Y131*0.78))</f>
        <v>1.2227146105263159E-3</v>
      </c>
      <c r="AB131" s="65">
        <f t="shared" si="190"/>
        <v>0.99445762227830548</v>
      </c>
      <c r="AC131" s="65">
        <f t="shared" ref="AC131:AD146" si="200">SUM(AE131,AG131,AI131,AK131,AM131)</f>
        <v>5.5423777216945143E-3</v>
      </c>
      <c r="AD131" s="65">
        <f t="shared" si="200"/>
        <v>1.2219673995898564E-3</v>
      </c>
      <c r="AE131" s="65">
        <f t="shared" si="191"/>
        <v>5.5269902923133843E-3</v>
      </c>
      <c r="AF131" s="65">
        <f t="shared" ref="AF131:AF150" si="201">EXP(-$AA131)*POWER($AA131,1)</f>
        <v>1.2212204931332505E-3</v>
      </c>
      <c r="AG131" s="65">
        <f t="shared" si="192"/>
        <v>1.5358935869656112E-5</v>
      </c>
      <c r="AH131" s="65">
        <f t="shared" ref="AH131:AH150" si="202">EXP(-$AA131)*POWER($AA131,2)/FACT(2)</f>
        <v>7.4660206981408883E-7</v>
      </c>
      <c r="AI131" s="65">
        <f t="shared" si="193"/>
        <v>2.8453932257523082E-8</v>
      </c>
      <c r="AJ131" s="65">
        <f t="shared" ref="AJ131:AJ150" si="203">EXP(-$AA131)*POWER($AA131,3)/FACT(3)</f>
        <v>3.0429375300362499E-10</v>
      </c>
      <c r="AK131" s="65">
        <f t="shared" si="194"/>
        <v>3.9535271247953997E-11</v>
      </c>
      <c r="AL131" s="65">
        <f t="shared" ref="AL131:AL150" si="204">EXP(-$AA131)*POWER($AA131,4)/FACT(4)</f>
        <v>9.301610442235455E-14</v>
      </c>
      <c r="AM131" s="65">
        <f t="shared" si="195"/>
        <v>4.3945776169085748E-14</v>
      </c>
      <c r="AN131" s="65">
        <f t="shared" ref="AN131:AN150" si="205">EXP(-$AA131)*POWER($AA131,5)/FACT(5)</f>
        <v>2.2746429978290876E-17</v>
      </c>
    </row>
    <row r="132" spans="21:40" x14ac:dyDescent="0.3">
      <c r="U132" s="68"/>
      <c r="V132" s="62">
        <f t="shared" si="196"/>
        <v>588</v>
      </c>
      <c r="W132" s="63">
        <v>90</v>
      </c>
      <c r="X132" s="86">
        <f t="shared" si="189"/>
        <v>2.5456679999999999E-2</v>
      </c>
      <c r="Y132" s="65">
        <f t="shared" si="197"/>
        <v>1.2505035789473682E-2</v>
      </c>
      <c r="Z132" s="65">
        <f t="shared" si="198"/>
        <v>1.2505035789473682E-2</v>
      </c>
      <c r="AA132" s="65">
        <f t="shared" si="199"/>
        <v>2.7511078736842092E-3</v>
      </c>
      <c r="AB132" s="65">
        <f t="shared" si="190"/>
        <v>0.98757282727251128</v>
      </c>
      <c r="AC132" s="65">
        <f t="shared" si="200"/>
        <v>1.2427172727483428E-2</v>
      </c>
      <c r="AD132" s="65">
        <f t="shared" si="200"/>
        <v>2.7473270443690479E-3</v>
      </c>
      <c r="AE132" s="65">
        <f t="shared" si="191"/>
        <v>1.2349633549754465E-2</v>
      </c>
      <c r="AF132" s="65">
        <f t="shared" si="201"/>
        <v>2.7435496806208597E-3</v>
      </c>
      <c r="AG132" s="65">
        <f t="shared" si="192"/>
        <v>7.7216304763282252E-5</v>
      </c>
      <c r="AH132" s="65">
        <f t="shared" si="202"/>
        <v>3.7739005640999227E-6</v>
      </c>
      <c r="AI132" s="65">
        <f t="shared" si="193"/>
        <v>3.2186421819858391E-7</v>
      </c>
      <c r="AJ132" s="65">
        <f t="shared" si="203"/>
        <v>3.460802518798858E-9</v>
      </c>
      <c r="AK132" s="65">
        <f t="shared" si="194"/>
        <v>1.0062308919810645E-9</v>
      </c>
      <c r="AL132" s="65">
        <f t="shared" si="204"/>
        <v>2.3802602646834207E-12</v>
      </c>
      <c r="AM132" s="65">
        <f t="shared" si="195"/>
        <v>2.5165906633394472E-12</v>
      </c>
      <c r="AN132" s="65">
        <f t="shared" si="205"/>
        <v>1.3096705511176437E-15</v>
      </c>
    </row>
    <row r="133" spans="21:40" x14ac:dyDescent="0.3">
      <c r="U133" s="38"/>
      <c r="V133" s="62">
        <f t="shared" si="196"/>
        <v>588</v>
      </c>
      <c r="W133" s="63">
        <v>120</v>
      </c>
      <c r="X133" s="86">
        <f t="shared" si="189"/>
        <v>4.5256320000000003E-2</v>
      </c>
      <c r="Y133" s="65">
        <f t="shared" si="197"/>
        <v>2.2231174736842108E-2</v>
      </c>
      <c r="Z133" s="65">
        <f t="shared" si="198"/>
        <v>2.2231174736842108E-2</v>
      </c>
      <c r="AA133" s="65">
        <f t="shared" si="199"/>
        <v>4.8908584421052635E-3</v>
      </c>
      <c r="AB133" s="65">
        <f t="shared" si="190"/>
        <v>0.97801411675972905</v>
      </c>
      <c r="AC133" s="65">
        <f t="shared" si="200"/>
        <v>2.1985883240106502E-2</v>
      </c>
      <c r="AD133" s="65">
        <f t="shared" si="200"/>
        <v>4.8789176687638134E-3</v>
      </c>
      <c r="AE133" s="65">
        <f t="shared" si="191"/>
        <v>2.1742402724783835E-2</v>
      </c>
      <c r="AF133" s="65">
        <f t="shared" si="201"/>
        <v>4.8669963464366538E-3</v>
      </c>
      <c r="AG133" s="65">
        <f t="shared" si="192"/>
        <v>2.4167957708673074E-4</v>
      </c>
      <c r="AH133" s="65">
        <f t="shared" si="202"/>
        <v>1.1901895084332589E-5</v>
      </c>
      <c r="AI133" s="65">
        <f t="shared" si="193"/>
        <v>1.7909403028470708E-6</v>
      </c>
      <c r="AJ133" s="65">
        <f t="shared" si="203"/>
        <v>1.9403494683419726E-8</v>
      </c>
      <c r="AK133" s="65">
        <f t="shared" si="194"/>
        <v>9.9536767039615389E-9</v>
      </c>
      <c r="AL133" s="65">
        <f t="shared" si="204"/>
        <v>2.3724936444686988E-11</v>
      </c>
      <c r="AM133" s="65">
        <f t="shared" si="195"/>
        <v>4.425638521596072E-11</v>
      </c>
      <c r="AN133" s="65">
        <f t="shared" si="205"/>
        <v>2.3207061139781642E-14</v>
      </c>
    </row>
    <row r="134" spans="21:40" x14ac:dyDescent="0.3">
      <c r="U134" s="76"/>
      <c r="V134" s="62">
        <f t="shared" si="196"/>
        <v>588</v>
      </c>
      <c r="W134" s="63">
        <v>150</v>
      </c>
      <c r="X134" s="86">
        <f t="shared" si="189"/>
        <v>7.0712999999999998E-2</v>
      </c>
      <c r="Y134" s="65">
        <f t="shared" si="197"/>
        <v>3.4736210526315786E-2</v>
      </c>
      <c r="Z134" s="65">
        <f t="shared" si="198"/>
        <v>3.4736210526315786E-2</v>
      </c>
      <c r="AA134" s="65">
        <f t="shared" si="199"/>
        <v>7.641966315789471E-3</v>
      </c>
      <c r="AB134" s="65">
        <f t="shared" si="190"/>
        <v>0.96586016640083361</v>
      </c>
      <c r="AC134" s="65">
        <f t="shared" si="200"/>
        <v>3.4139833596798147E-2</v>
      </c>
      <c r="AD134" s="65">
        <f t="shared" si="200"/>
        <v>7.6128407306739598E-3</v>
      </c>
      <c r="AE134" s="65">
        <f t="shared" si="191"/>
        <v>3.3550322079081756E-2</v>
      </c>
      <c r="AF134" s="65">
        <f t="shared" si="201"/>
        <v>7.5837892433581883E-3</v>
      </c>
      <c r="AG134" s="65">
        <f t="shared" si="192"/>
        <v>5.827055254823423E-4</v>
      </c>
      <c r="AH134" s="65">
        <f t="shared" si="202"/>
        <v>2.8977530971894898E-5</v>
      </c>
      <c r="AI134" s="65">
        <f t="shared" si="193"/>
        <v>6.746993936000703E-6</v>
      </c>
      <c r="AJ134" s="65">
        <f t="shared" si="203"/>
        <v>7.3815105200655647E-8</v>
      </c>
      <c r="AK134" s="65">
        <f t="shared" si="194"/>
        <v>5.8591250445174099E-8</v>
      </c>
      <c r="AL134" s="65">
        <f t="shared" si="204"/>
        <v>1.4102313688496664E-10</v>
      </c>
      <c r="AM134" s="65">
        <f t="shared" si="195"/>
        <v>4.0704760209273222E-10</v>
      </c>
      <c r="AN134" s="65">
        <f t="shared" si="205"/>
        <v>2.1553881236437656E-13</v>
      </c>
    </row>
    <row r="135" spans="21:40" x14ac:dyDescent="0.3">
      <c r="U135" s="76"/>
      <c r="V135" s="62">
        <f t="shared" si="196"/>
        <v>588</v>
      </c>
      <c r="W135" s="63">
        <v>180</v>
      </c>
      <c r="X135" s="86">
        <f t="shared" si="189"/>
        <v>0.10182672</v>
      </c>
      <c r="Y135" s="65">
        <f t="shared" si="197"/>
        <v>5.0020143157894728E-2</v>
      </c>
      <c r="Z135" s="65">
        <f t="shared" si="198"/>
        <v>5.0020143157894728E-2</v>
      </c>
      <c r="AA135" s="65">
        <f t="shared" si="199"/>
        <v>1.1004431494736837E-2</v>
      </c>
      <c r="AB135" s="65">
        <f t="shared" si="190"/>
        <v>0.95121026392920005</v>
      </c>
      <c r="AC135" s="65">
        <f t="shared" si="200"/>
        <v>4.8789736049958635E-2</v>
      </c>
      <c r="AD135" s="65">
        <f t="shared" si="200"/>
        <v>1.0944104230337025E-2</v>
      </c>
      <c r="AE135" s="65">
        <f t="shared" si="191"/>
        <v>4.7579673574997414E-2</v>
      </c>
      <c r="AF135" s="65">
        <f t="shared" si="201"/>
        <v>1.0883997849462807E-2</v>
      </c>
      <c r="AG135" s="65">
        <f t="shared" si="192"/>
        <v>1.1899710418136358E-3</v>
      </c>
      <c r="AH135" s="65">
        <f t="shared" si="202"/>
        <v>5.9886104361638257E-5</v>
      </c>
      <c r="AI135" s="65">
        <f t="shared" si="193"/>
        <v>1.9840840621755734E-5</v>
      </c>
      <c r="AJ135" s="65">
        <f t="shared" si="203"/>
        <v>2.1967084431143633E-7</v>
      </c>
      <c r="AK135" s="65">
        <f t="shared" si="194"/>
        <v>2.4811042206829866E-7</v>
      </c>
      <c r="AL135" s="65">
        <f t="shared" si="204"/>
        <v>6.043381894040506E-10</v>
      </c>
      <c r="AM135" s="65">
        <f t="shared" si="195"/>
        <v>2.4821037661643966E-9</v>
      </c>
      <c r="AN135" s="65">
        <f t="shared" si="205"/>
        <v>1.3300796409900343E-12</v>
      </c>
    </row>
    <row r="136" spans="21:40" x14ac:dyDescent="0.3">
      <c r="U136" s="76"/>
      <c r="V136" s="62">
        <f t="shared" si="196"/>
        <v>588</v>
      </c>
      <c r="W136" s="63">
        <v>210</v>
      </c>
      <c r="X136" s="86">
        <f t="shared" si="189"/>
        <v>0.13859748</v>
      </c>
      <c r="Y136" s="65">
        <f t="shared" si="197"/>
        <v>6.8082972631578934E-2</v>
      </c>
      <c r="Z136" s="65">
        <f t="shared" si="198"/>
        <v>6.8082972631578934E-2</v>
      </c>
      <c r="AA136" s="65">
        <f t="shared" si="199"/>
        <v>1.4978253978947365E-2</v>
      </c>
      <c r="AB136" s="65">
        <f t="shared" si="190"/>
        <v>0.93418295874299007</v>
      </c>
      <c r="AC136" s="65">
        <f t="shared" si="200"/>
        <v>6.5817041126522174E-2</v>
      </c>
      <c r="AD136" s="65">
        <f t="shared" si="200"/>
        <v>1.4866637899017843E-2</v>
      </c>
      <c r="AE136" s="65">
        <f t="shared" si="191"/>
        <v>6.3601952812986431E-2</v>
      </c>
      <c r="AF136" s="65">
        <f t="shared" si="201"/>
        <v>1.4755577700682599E-2</v>
      </c>
      <c r="AG136" s="65">
        <f t="shared" si="192"/>
        <v>2.1651050063407648E-3</v>
      </c>
      <c r="AH136" s="65">
        <f t="shared" si="202"/>
        <v>1.1050639520345807E-4</v>
      </c>
      <c r="AI136" s="65">
        <f t="shared" si="193"/>
        <v>4.9135594963730934E-5</v>
      </c>
      <c r="AJ136" s="65">
        <f t="shared" si="203"/>
        <v>5.5173095121844195E-7</v>
      </c>
      <c r="AK136" s="65">
        <f t="shared" si="194"/>
        <v>8.3632434178801014E-7</v>
      </c>
      <c r="AL136" s="65">
        <f t="shared" si="204"/>
        <v>2.0659915788490107E-9</v>
      </c>
      <c r="AM136" s="65">
        <f t="shared" si="195"/>
        <v>1.1387889454615272E-8</v>
      </c>
      <c r="AN136" s="65">
        <f t="shared" si="205"/>
        <v>6.188989317273389E-12</v>
      </c>
    </row>
    <row r="137" spans="21:40" x14ac:dyDescent="0.3">
      <c r="U137" s="76"/>
      <c r="V137" s="62">
        <f t="shared" si="196"/>
        <v>588</v>
      </c>
      <c r="W137" s="63">
        <v>240</v>
      </c>
      <c r="X137" s="86">
        <f t="shared" si="189"/>
        <v>0.18102528000000001</v>
      </c>
      <c r="Y137" s="65">
        <f t="shared" si="197"/>
        <v>8.892469894736843E-2</v>
      </c>
      <c r="Z137" s="65">
        <f t="shared" si="198"/>
        <v>8.892469894736843E-2</v>
      </c>
      <c r="AA137" s="65">
        <f t="shared" si="199"/>
        <v>1.9563433768421054E-2</v>
      </c>
      <c r="AB137" s="65">
        <f t="shared" si="190"/>
        <v>0.91491446500290352</v>
      </c>
      <c r="AC137" s="65">
        <f t="shared" si="200"/>
        <v>8.5085534360702791E-2</v>
      </c>
      <c r="AD137" s="65">
        <f t="shared" si="200"/>
        <v>1.9373311630500385E-2</v>
      </c>
      <c r="AE137" s="65">
        <f t="shared" si="191"/>
        <v>8.1358493362975848E-2</v>
      </c>
      <c r="AF137" s="65">
        <f t="shared" si="201"/>
        <v>1.9184425269461281E-2</v>
      </c>
      <c r="AG137" s="65">
        <f t="shared" si="192"/>
        <v>3.61738976455705E-3</v>
      </c>
      <c r="AH137" s="65">
        <f t="shared" si="202"/>
        <v>1.8765661657216449E-4</v>
      </c>
      <c r="AI137" s="65">
        <f t="shared" si="193"/>
        <v>1.0722509859617588E-4</v>
      </c>
      <c r="AJ137" s="65">
        <f t="shared" si="203"/>
        <v>1.2237359298385082E-6</v>
      </c>
      <c r="AK137" s="65">
        <f t="shared" si="194"/>
        <v>2.3837399030667095E-6</v>
      </c>
      <c r="AL137" s="65">
        <f t="shared" si="204"/>
        <v>5.9851192033582022E-9</v>
      </c>
      <c r="AM137" s="65">
        <f t="shared" si="195"/>
        <v>4.2394670649807272E-8</v>
      </c>
      <c r="AN137" s="65">
        <f t="shared" si="205"/>
        <v>2.3417896626200632E-11</v>
      </c>
    </row>
    <row r="138" spans="21:40" x14ac:dyDescent="0.3">
      <c r="U138" s="76"/>
      <c r="V138" s="62">
        <f t="shared" si="196"/>
        <v>588</v>
      </c>
      <c r="W138" s="73">
        <v>270</v>
      </c>
      <c r="X138" s="86">
        <f t="shared" si="189"/>
        <v>0.22911012</v>
      </c>
      <c r="Y138" s="65">
        <f t="shared" si="197"/>
        <v>0.11254532210526315</v>
      </c>
      <c r="Z138" s="65">
        <f t="shared" si="198"/>
        <v>0.11254532210526315</v>
      </c>
      <c r="AA138" s="65">
        <f t="shared" si="199"/>
        <v>2.4759970863157885E-2</v>
      </c>
      <c r="AB138" s="65">
        <f t="shared" si="190"/>
        <v>0.89355684831323945</v>
      </c>
      <c r="AC138" s="74">
        <f t="shared" si="200"/>
        <v>0.10644314912357958</v>
      </c>
      <c r="AD138" s="65">
        <f t="shared" si="200"/>
        <v>2.4455957077022181E-2</v>
      </c>
      <c r="AE138" s="65">
        <f t="shared" si="191"/>
        <v>0.1005656433127773</v>
      </c>
      <c r="AF138" s="65">
        <f t="shared" si="201"/>
        <v>2.4154442078492419E-2</v>
      </c>
      <c r="AG138" s="65">
        <f t="shared" si="192"/>
        <v>5.6590963596797623E-3</v>
      </c>
      <c r="AH138" s="65">
        <f t="shared" si="202"/>
        <v>2.9903164103965355E-4</v>
      </c>
      <c r="AI138" s="65">
        <f t="shared" si="193"/>
        <v>2.1230160754162698E-4</v>
      </c>
      <c r="AJ138" s="65">
        <f t="shared" si="203"/>
        <v>2.468004906434703E-6</v>
      </c>
      <c r="AK138" s="65">
        <f t="shared" si="194"/>
        <v>5.9733882010593932E-6</v>
      </c>
      <c r="AL138" s="65">
        <f t="shared" si="204"/>
        <v>1.5276932393363487E-8</v>
      </c>
      <c r="AM138" s="65">
        <f t="shared" si="195"/>
        <v>1.3445537982960159E-7</v>
      </c>
      <c r="AN138" s="65">
        <f t="shared" si="205"/>
        <v>7.5651280187622548E-11</v>
      </c>
    </row>
    <row r="139" spans="21:40" x14ac:dyDescent="0.3">
      <c r="U139" s="76"/>
      <c r="V139" s="62">
        <f t="shared" si="196"/>
        <v>588</v>
      </c>
      <c r="W139" s="63">
        <v>300</v>
      </c>
      <c r="X139" s="86">
        <f t="shared" si="189"/>
        <v>0.28285199999999999</v>
      </c>
      <c r="Y139" s="65">
        <f t="shared" si="197"/>
        <v>0.13894484210526314</v>
      </c>
      <c r="Z139" s="65">
        <f t="shared" si="198"/>
        <v>0.13894484210526314</v>
      </c>
      <c r="AA139" s="65">
        <f t="shared" si="199"/>
        <v>3.0567865263157884E-2</v>
      </c>
      <c r="AB139" s="65">
        <f t="shared" si="190"/>
        <v>0.87027602972805473</v>
      </c>
      <c r="AC139" s="65">
        <f t="shared" si="200"/>
        <v>0.12972396139907433</v>
      </c>
      <c r="AD139" s="65">
        <f t="shared" si="200"/>
        <v>3.0105392318040752E-2</v>
      </c>
      <c r="AE139" s="65">
        <f t="shared" si="191"/>
        <v>0.12092036553855987</v>
      </c>
      <c r="AF139" s="65">
        <f t="shared" si="201"/>
        <v>2.9647607687051766E-2</v>
      </c>
      <c r="AG139" s="65">
        <f t="shared" si="192"/>
        <v>8.4006305485329509E-3</v>
      </c>
      <c r="AH139" s="65">
        <f t="shared" si="202"/>
        <v>4.5313203857638116E-4</v>
      </c>
      <c r="AI139" s="65">
        <f t="shared" si="193"/>
        <v>3.890747617168537E-4</v>
      </c>
      <c r="AJ139" s="65">
        <f t="shared" si="203"/>
        <v>4.6170930338742928E-6</v>
      </c>
      <c r="AK139" s="65">
        <f t="shared" si="194"/>
        <v>1.3514982833472777E-5</v>
      </c>
      <c r="AL139" s="65">
        <f t="shared" si="204"/>
        <v>3.5283669441733562E-8</v>
      </c>
      <c r="AM139" s="65">
        <f t="shared" si="195"/>
        <v>3.7556743117044343E-7</v>
      </c>
      <c r="AN139" s="65">
        <f t="shared" si="205"/>
        <v>2.1570929069694254E-10</v>
      </c>
    </row>
    <row r="140" spans="21:40" x14ac:dyDescent="0.3">
      <c r="U140" s="76"/>
      <c r="V140" s="62">
        <f t="shared" si="196"/>
        <v>588</v>
      </c>
      <c r="W140" s="63">
        <v>330</v>
      </c>
      <c r="X140" s="86">
        <f t="shared" si="189"/>
        <v>0.34225091999999996</v>
      </c>
      <c r="Y140" s="65">
        <f t="shared" si="197"/>
        <v>0.1681232589473684</v>
      </c>
      <c r="Z140" s="65">
        <f t="shared" si="198"/>
        <v>0.1681232589473684</v>
      </c>
      <c r="AA140" s="65">
        <f t="shared" si="199"/>
        <v>3.6987116968421052E-2</v>
      </c>
      <c r="AB140" s="65">
        <f t="shared" si="190"/>
        <v>0.84524964368221023</v>
      </c>
      <c r="AC140" s="65">
        <f t="shared" si="200"/>
        <v>0.1547503291568495</v>
      </c>
      <c r="AD140" s="65">
        <f t="shared" si="200"/>
        <v>3.6311449497445615E-2</v>
      </c>
      <c r="AE140" s="65">
        <f t="shared" si="191"/>
        <v>0.1421061247199551</v>
      </c>
      <c r="AF140" s="65">
        <f t="shared" si="201"/>
        <v>3.5644061138438696E-2</v>
      </c>
      <c r="AG140" s="65">
        <f t="shared" si="192"/>
        <v>1.1945672402150021E-2</v>
      </c>
      <c r="AH140" s="65">
        <f t="shared" si="202"/>
        <v>6.5918552927849154E-4</v>
      </c>
      <c r="AI140" s="65">
        <f t="shared" si="193"/>
        <v>6.6944845818903349E-4</v>
      </c>
      <c r="AJ140" s="65">
        <f t="shared" si="203"/>
        <v>8.1271240917713708E-6</v>
      </c>
      <c r="AK140" s="65">
        <f t="shared" si="194"/>
        <v>2.813746412200785E-5</v>
      </c>
      <c r="AL140" s="65">
        <f t="shared" si="204"/>
        <v>7.5149722349805091E-8</v>
      </c>
      <c r="AM140" s="65">
        <f t="shared" si="195"/>
        <v>9.4611243334132286E-7</v>
      </c>
      <c r="AN140" s="65">
        <f t="shared" si="205"/>
        <v>5.5591431413932135E-10</v>
      </c>
    </row>
    <row r="141" spans="21:40" x14ac:dyDescent="0.3">
      <c r="U141" s="76"/>
      <c r="V141" s="62">
        <f t="shared" si="196"/>
        <v>588</v>
      </c>
      <c r="W141" s="63">
        <v>360</v>
      </c>
      <c r="X141" s="86">
        <f t="shared" si="189"/>
        <v>0.40730687999999998</v>
      </c>
      <c r="Y141" s="65">
        <f t="shared" si="197"/>
        <v>0.20008057263157891</v>
      </c>
      <c r="Z141" s="65">
        <f t="shared" si="198"/>
        <v>0.20008057263157891</v>
      </c>
      <c r="AA141" s="65">
        <f t="shared" si="199"/>
        <v>4.4017725978947347E-2</v>
      </c>
      <c r="AB141" s="65">
        <f t="shared" si="190"/>
        <v>0.81866478844415957</v>
      </c>
      <c r="AC141" s="65">
        <f t="shared" si="200"/>
        <v>0.1813351364712128</v>
      </c>
      <c r="AD141" s="65">
        <f t="shared" si="200"/>
        <v>4.3063005312586881E-2</v>
      </c>
      <c r="AE141" s="65">
        <f t="shared" si="191"/>
        <v>0.16379891966521787</v>
      </c>
      <c r="AF141" s="65">
        <f t="shared" si="201"/>
        <v>4.2122190410839713E-2</v>
      </c>
      <c r="AG141" s="65">
        <f t="shared" si="192"/>
        <v>1.6386490821525389E-2</v>
      </c>
      <c r="AH141" s="65">
        <f t="shared" si="202"/>
        <v>9.2706151756869295E-4</v>
      </c>
      <c r="AI141" s="65">
        <f t="shared" si="193"/>
        <v>1.0928728223309708E-3</v>
      </c>
      <c r="AJ141" s="65">
        <f t="shared" si="203"/>
        <v>1.3602379948655269E-5</v>
      </c>
      <c r="AK141" s="65">
        <f t="shared" si="194"/>
        <v>5.4665655026367605E-5</v>
      </c>
      <c r="AL141" s="65">
        <f t="shared" si="204"/>
        <v>1.4968645831035888E-7</v>
      </c>
      <c r="AM141" s="65">
        <f t="shared" si="195"/>
        <v>2.1875071121911963E-6</v>
      </c>
      <c r="AN141" s="65">
        <f t="shared" si="205"/>
        <v>1.3177715009329007E-9</v>
      </c>
    </row>
    <row r="142" spans="21:40" x14ac:dyDescent="0.3">
      <c r="U142" s="76"/>
      <c r="V142" s="62">
        <f t="shared" si="196"/>
        <v>588</v>
      </c>
      <c r="W142" s="63">
        <v>390</v>
      </c>
      <c r="X142" s="86">
        <f t="shared" si="189"/>
        <v>0.47801987999999995</v>
      </c>
      <c r="Y142" s="65">
        <f t="shared" si="197"/>
        <v>0.2348167831578947</v>
      </c>
      <c r="Z142" s="65">
        <f t="shared" si="198"/>
        <v>0.2348167831578947</v>
      </c>
      <c r="AA142" s="65">
        <f t="shared" si="199"/>
        <v>5.1659692294736825E-2</v>
      </c>
      <c r="AB142" s="65">
        <f t="shared" si="190"/>
        <v>0.7907157087931791</v>
      </c>
      <c r="AC142" s="65">
        <f t="shared" si="200"/>
        <v>0.20928410074112982</v>
      </c>
      <c r="AD142" s="65">
        <f t="shared" si="200"/>
        <v>5.0348014226831279E-2</v>
      </c>
      <c r="AE142" s="65">
        <f t="shared" si="191"/>
        <v>0.18567331913122895</v>
      </c>
      <c r="AF142" s="65">
        <f t="shared" si="201"/>
        <v>4.9058729370823E-2</v>
      </c>
      <c r="AG142" s="65">
        <f t="shared" si="192"/>
        <v>2.1799605758322186E-2</v>
      </c>
      <c r="AH142" s="65">
        <f t="shared" si="202"/>
        <v>1.2671794318337419E-3</v>
      </c>
      <c r="AI142" s="65">
        <f t="shared" si="193"/>
        <v>1.7063044327598443E-3</v>
      </c>
      <c r="AJ142" s="65">
        <f t="shared" si="203"/>
        <v>2.1820699843583517E-5</v>
      </c>
      <c r="AK142" s="65">
        <f t="shared" si="194"/>
        <v>1.0016722949718073E-4</v>
      </c>
      <c r="AL142" s="65">
        <f t="shared" si="204"/>
        <v>2.8181265989383413E-7</v>
      </c>
      <c r="AM142" s="65">
        <f t="shared" si="195"/>
        <v>4.7041893216733127E-6</v>
      </c>
      <c r="AN142" s="65">
        <f t="shared" si="205"/>
        <v>2.9116710589753589E-9</v>
      </c>
    </row>
    <row r="143" spans="21:40" x14ac:dyDescent="0.3">
      <c r="U143" s="76"/>
      <c r="V143" s="62">
        <f t="shared" si="196"/>
        <v>588</v>
      </c>
      <c r="W143" s="63">
        <v>420</v>
      </c>
      <c r="X143" s="86">
        <f t="shared" si="189"/>
        <v>0.55438991999999998</v>
      </c>
      <c r="Y143" s="65">
        <f t="shared" si="197"/>
        <v>0.27233189052631573</v>
      </c>
      <c r="Z143" s="65">
        <f t="shared" si="198"/>
        <v>0.27233189052631573</v>
      </c>
      <c r="AA143" s="65">
        <f t="shared" si="199"/>
        <v>5.9913015915789458E-2</v>
      </c>
      <c r="AB143" s="65">
        <f t="shared" si="190"/>
        <v>0.7616014508331338</v>
      </c>
      <c r="AC143" s="65">
        <f t="shared" si="200"/>
        <v>0.2383981002846548</v>
      </c>
      <c r="AD143" s="65">
        <f t="shared" si="200"/>
        <v>5.8153544266323798E-2</v>
      </c>
      <c r="AE143" s="65">
        <f t="shared" si="191"/>
        <v>0.20740836293297224</v>
      </c>
      <c r="AF143" s="65">
        <f t="shared" si="201"/>
        <v>5.6428861688945481E-2</v>
      </c>
      <c r="AG143" s="65">
        <f t="shared" si="192"/>
        <v>2.8241955794252274E-2</v>
      </c>
      <c r="AH143" s="65">
        <f t="shared" si="202"/>
        <v>1.6904116442398361E-3</v>
      </c>
      <c r="AI143" s="65">
        <f t="shared" si="193"/>
        <v>2.5637284045364529E-3</v>
      </c>
      <c r="AJ143" s="65">
        <f t="shared" si="203"/>
        <v>3.375921991519238E-5</v>
      </c>
      <c r="AK143" s="65">
        <f t="shared" si="194"/>
        <v>1.7454625080085681E-4</v>
      </c>
      <c r="AL143" s="65">
        <f t="shared" si="204"/>
        <v>5.0565417002088928E-7</v>
      </c>
      <c r="AM143" s="65">
        <f t="shared" si="195"/>
        <v>9.5069020929755583E-6</v>
      </c>
      <c r="AN143" s="65">
        <f t="shared" si="205"/>
        <v>6.0590532672693709E-9</v>
      </c>
    </row>
    <row r="144" spans="21:40" x14ac:dyDescent="0.3">
      <c r="U144" s="76"/>
      <c r="V144" s="62">
        <f t="shared" si="196"/>
        <v>588</v>
      </c>
      <c r="W144" s="63">
        <v>450</v>
      </c>
      <c r="X144" s="86">
        <f t="shared" si="189"/>
        <v>0.63641700000000001</v>
      </c>
      <c r="Y144" s="65">
        <f t="shared" si="197"/>
        <v>0.3126258947368421</v>
      </c>
      <c r="Z144" s="65">
        <f t="shared" si="198"/>
        <v>0.3126258947368421</v>
      </c>
      <c r="AA144" s="65">
        <f t="shared" si="199"/>
        <v>6.8777696842105246E-2</v>
      </c>
      <c r="AB144" s="65">
        <f t="shared" si="190"/>
        <v>0.73152352818718802</v>
      </c>
      <c r="AC144" s="65">
        <f t="shared" si="200"/>
        <v>0.26847547921863057</v>
      </c>
      <c r="AD144" s="65">
        <f t="shared" si="200"/>
        <v>6.6465815251266408E-2</v>
      </c>
      <c r="AE144" s="65">
        <f t="shared" si="191"/>
        <v>0.22869319752057118</v>
      </c>
      <c r="AF144" s="65">
        <f t="shared" si="201"/>
        <v>6.4206331140857609E-2</v>
      </c>
      <c r="AG144" s="65">
        <f t="shared" si="192"/>
        <v>3.5747707747548964E-2</v>
      </c>
      <c r="AH144" s="65">
        <f t="shared" si="202"/>
        <v>2.2079817892748633E-3</v>
      </c>
      <c r="AI144" s="65">
        <f t="shared" si="193"/>
        <v>3.7252197064562126E-3</v>
      </c>
      <c r="AJ144" s="65">
        <f t="shared" si="203"/>
        <v>5.0619967378545221E-5</v>
      </c>
      <c r="AK144" s="65">
        <f t="shared" si="194"/>
        <v>2.9115003595554741E-4</v>
      </c>
      <c r="AL144" s="65">
        <f t="shared" si="204"/>
        <v>8.7038119262970994E-7</v>
      </c>
      <c r="AM144" s="65">
        <f t="shared" si="195"/>
        <v>1.8204208098653351E-5</v>
      </c>
      <c r="AN144" s="65">
        <f t="shared" si="205"/>
        <v>1.197256276075124E-8</v>
      </c>
    </row>
    <row r="145" spans="21:40" x14ac:dyDescent="0.3">
      <c r="U145" s="76"/>
      <c r="V145" s="62">
        <f t="shared" si="196"/>
        <v>588</v>
      </c>
      <c r="W145" s="63">
        <v>480</v>
      </c>
      <c r="X145" s="86">
        <f t="shared" si="189"/>
        <v>0.72410112000000004</v>
      </c>
      <c r="Y145" s="65">
        <f t="shared" si="197"/>
        <v>0.35569879578947372</v>
      </c>
      <c r="Z145" s="65">
        <f t="shared" si="198"/>
        <v>0.35569879578947372</v>
      </c>
      <c r="AA145" s="65">
        <f t="shared" si="199"/>
        <v>7.8253735073684216E-2</v>
      </c>
      <c r="AB145" s="65">
        <f t="shared" si="190"/>
        <v>0.70068363731584682</v>
      </c>
      <c r="AC145" s="65">
        <f t="shared" si="200"/>
        <v>0.29931428690722678</v>
      </c>
      <c r="AD145" s="65">
        <f t="shared" si="200"/>
        <v>7.5270239302354949E-2</v>
      </c>
      <c r="AE145" s="65">
        <f t="shared" si="191"/>
        <v>0.24923232602263506</v>
      </c>
      <c r="AF145" s="65">
        <f t="shared" si="201"/>
        <v>7.2363557685045321E-2</v>
      </c>
      <c r="AG145" s="65">
        <f t="shared" si="192"/>
        <v>4.4325819119030406E-2</v>
      </c>
      <c r="AH145" s="65">
        <f t="shared" si="202"/>
        <v>2.8313593360374009E-3</v>
      </c>
      <c r="AI145" s="65">
        <f t="shared" si="193"/>
        <v>5.255546827673715E-3</v>
      </c>
      <c r="AJ145" s="65">
        <f t="shared" si="203"/>
        <v>7.3854814460224416E-5</v>
      </c>
      <c r="AK145" s="65">
        <f t="shared" si="194"/>
        <v>4.6734791945468238E-4</v>
      </c>
      <c r="AL145" s="65">
        <f t="shared" si="204"/>
        <v>1.4448537711716254E-6</v>
      </c>
      <c r="AM145" s="65">
        <f t="shared" si="195"/>
        <v>3.3247018432949295E-5</v>
      </c>
      <c r="AN145" s="65">
        <f t="shared" si="205"/>
        <v>2.2613040845895589E-8</v>
      </c>
    </row>
    <row r="146" spans="21:40" x14ac:dyDescent="0.3">
      <c r="U146" s="76"/>
      <c r="V146" s="62">
        <f t="shared" si="196"/>
        <v>588</v>
      </c>
      <c r="W146" s="63">
        <v>510</v>
      </c>
      <c r="X146" s="86">
        <f t="shared" si="189"/>
        <v>0.81744227999999997</v>
      </c>
      <c r="Y146" s="65">
        <f t="shared" si="197"/>
        <v>0.40155059368421053</v>
      </c>
      <c r="Z146" s="65">
        <f t="shared" si="198"/>
        <v>0.40155059368421053</v>
      </c>
      <c r="AA146" s="65">
        <f t="shared" si="199"/>
        <v>8.8341130610526286E-2</v>
      </c>
      <c r="AB146" s="65">
        <f t="shared" si="190"/>
        <v>0.6692814574284176</v>
      </c>
      <c r="AC146" s="65">
        <f t="shared" si="200"/>
        <v>0.33071441039905675</v>
      </c>
      <c r="AD146" s="65">
        <f t="shared" si="200"/>
        <v>8.4551463454067222E-2</v>
      </c>
      <c r="AE146" s="65">
        <f t="shared" si="191"/>
        <v>0.26875036657221479</v>
      </c>
      <c r="AF146" s="65">
        <f t="shared" si="201"/>
        <v>8.0871758680150313E-2</v>
      </c>
      <c r="AG146" s="65">
        <f t="shared" si="192"/>
        <v>5.395843462496102E-2</v>
      </c>
      <c r="AH146" s="65">
        <f t="shared" si="202"/>
        <v>3.5721512981330607E-3</v>
      </c>
      <c r="AI146" s="65">
        <f t="shared" si="193"/>
        <v>7.2223471526412534E-3</v>
      </c>
      <c r="AJ146" s="65">
        <f t="shared" si="203"/>
        <v>1.0518929479631123E-4</v>
      </c>
      <c r="AK146" s="65">
        <f t="shared" si="194"/>
        <v>7.2503444673414073E-4</v>
      </c>
      <c r="AL146" s="65">
        <f t="shared" si="204"/>
        <v>2.3231353076075209E-6</v>
      </c>
      <c r="AM146" s="65">
        <f t="shared" si="195"/>
        <v>5.8227602505519465E-5</v>
      </c>
      <c r="AN146" s="65">
        <f t="shared" si="205"/>
        <v>4.1045679927056229E-8</v>
      </c>
    </row>
    <row r="147" spans="21:40" x14ac:dyDescent="0.3">
      <c r="V147" s="62">
        <f t="shared" si="196"/>
        <v>588</v>
      </c>
      <c r="W147" s="73">
        <v>540</v>
      </c>
      <c r="X147" s="86">
        <f t="shared" si="189"/>
        <v>0.91644048</v>
      </c>
      <c r="Y147" s="65">
        <f>V147/(1197/$X147)</f>
        <v>0.45018128842105259</v>
      </c>
      <c r="Z147" s="65">
        <f t="shared" si="198"/>
        <v>0.45018128842105259</v>
      </c>
      <c r="AA147" s="65">
        <f t="shared" si="199"/>
        <v>9.9039883452631539E-2</v>
      </c>
      <c r="AB147" s="65">
        <f t="shared" si="190"/>
        <v>0.63751256749829532</v>
      </c>
      <c r="AC147" s="65">
        <f t="shared" ref="AC147:AD150" si="206">SUM(AE147,AG147,AI147,AK147,AM147)</f>
        <v>0.36247956021346489</v>
      </c>
      <c r="AD147" s="74">
        <f t="shared" si="206"/>
        <v>9.4293414198290196E-2</v>
      </c>
      <c r="AE147" s="65">
        <f t="shared" si="191"/>
        <v>0.28699622902099586</v>
      </c>
      <c r="AF147" s="65">
        <f t="shared" si="201"/>
        <v>8.9701074580819842E-2</v>
      </c>
      <c r="AG147" s="65">
        <f t="shared" si="192"/>
        <v>6.4600166076327695E-2</v>
      </c>
      <c r="AH147" s="65">
        <f t="shared" si="202"/>
        <v>4.4419919860301032E-3</v>
      </c>
      <c r="AI147" s="65">
        <f t="shared" si="193"/>
        <v>9.6939286654850586E-3</v>
      </c>
      <c r="AJ147" s="65">
        <f t="shared" si="203"/>
        <v>1.4664478953131489E-4</v>
      </c>
      <c r="AK147" s="65">
        <f t="shared" si="194"/>
        <v>1.0910063241224598E-3</v>
      </c>
      <c r="AL147" s="65">
        <f t="shared" si="204"/>
        <v>3.6309207160292777E-6</v>
      </c>
      <c r="AM147" s="65">
        <f t="shared" si="195"/>
        <v>9.82301265337931E-5</v>
      </c>
      <c r="AN147" s="65">
        <f t="shared" si="205"/>
        <v>7.1921192908257026E-8</v>
      </c>
    </row>
    <row r="148" spans="21:40" x14ac:dyDescent="0.3">
      <c r="V148" s="62">
        <f t="shared" si="196"/>
        <v>588</v>
      </c>
      <c r="W148" s="63">
        <v>570</v>
      </c>
      <c r="X148" s="86">
        <f t="shared" si="189"/>
        <v>1.0210957199999999</v>
      </c>
      <c r="Y148" s="65">
        <f>V148/(1197/$X148)</f>
        <v>0.50159087999999996</v>
      </c>
      <c r="Z148" s="65">
        <f t="shared" si="198"/>
        <v>0.50159087999999996</v>
      </c>
      <c r="AA148" s="65">
        <f t="shared" si="199"/>
        <v>0.11034999359999997</v>
      </c>
      <c r="AB148" s="65">
        <f t="shared" si="190"/>
        <v>0.6055665093438265</v>
      </c>
      <c r="AC148" s="65">
        <f t="shared" si="206"/>
        <v>0.39441907263286863</v>
      </c>
      <c r="AD148" s="65">
        <f t="shared" si="206"/>
        <v>0.10447934377432462</v>
      </c>
      <c r="AE148" s="65">
        <f t="shared" si="191"/>
        <v>0.30374663832029813</v>
      </c>
      <c r="AF148" s="65">
        <f t="shared" si="201"/>
        <v>9.8820698431382289E-2</v>
      </c>
      <c r="AG148" s="65">
        <f t="shared" si="192"/>
        <v>7.617827180606003E-2</v>
      </c>
      <c r="AH148" s="65">
        <f t="shared" si="202"/>
        <v>5.4524317197252817E-3</v>
      </c>
      <c r="AI148" s="65">
        <f t="shared" si="193"/>
        <v>1.2736775464026946E-2</v>
      </c>
      <c r="AJ148" s="65">
        <f t="shared" si="203"/>
        <v>2.0055860179204056E-4</v>
      </c>
      <c r="AK148" s="65">
        <f t="shared" si="194"/>
        <v>1.5971626033409207E-3</v>
      </c>
      <c r="AL148" s="65">
        <f t="shared" si="204"/>
        <v>5.532910106044155E-6</v>
      </c>
      <c r="AM148" s="65">
        <f t="shared" si="195"/>
        <v>1.6022443914257266E-4</v>
      </c>
      <c r="AN148" s="65">
        <f t="shared" si="205"/>
        <v>1.2211131895826954E-7</v>
      </c>
    </row>
    <row r="149" spans="21:40" x14ac:dyDescent="0.3">
      <c r="V149" s="62">
        <f t="shared" si="196"/>
        <v>588</v>
      </c>
      <c r="W149" s="63">
        <v>600</v>
      </c>
      <c r="X149" s="86">
        <f t="shared" si="189"/>
        <v>1.131408</v>
      </c>
      <c r="Y149" s="65">
        <f>V149/(1197/$X149)</f>
        <v>0.55577936842105258</v>
      </c>
      <c r="Z149" s="65">
        <f t="shared" si="198"/>
        <v>0.55577936842105258</v>
      </c>
      <c r="AA149" s="65">
        <f t="shared" si="199"/>
        <v>0.12227146105263154</v>
      </c>
      <c r="AB149" s="65">
        <f t="shared" si="190"/>
        <v>0.57362502170946206</v>
      </c>
      <c r="AC149" s="65">
        <f t="shared" si="206"/>
        <v>0.42634949536285827</v>
      </c>
      <c r="AD149" s="65">
        <f t="shared" si="206"/>
        <v>0.1150918780146238</v>
      </c>
      <c r="AE149" s="65">
        <f t="shared" si="191"/>
        <v>0.31880895227619738</v>
      </c>
      <c r="AF149" s="65">
        <f t="shared" si="201"/>
        <v>0.10819900846142577</v>
      </c>
      <c r="AG149" s="65">
        <f t="shared" si="192"/>
        <v>8.8593719071521235E-2</v>
      </c>
      <c r="AH149" s="65">
        <f t="shared" si="202"/>
        <v>6.614825424512286E-3</v>
      </c>
      <c r="AI149" s="65">
        <f t="shared" si="193"/>
        <v>1.6412853743880743E-2</v>
      </c>
      <c r="AJ149" s="65">
        <f t="shared" si="203"/>
        <v>2.6960145642107027E-4</v>
      </c>
      <c r="AK149" s="65">
        <f t="shared" si="194"/>
        <v>2.2804813719402872E-3</v>
      </c>
      <c r="AL149" s="65">
        <f t="shared" si="204"/>
        <v>8.2411409946304077E-6</v>
      </c>
      <c r="AM149" s="65">
        <f t="shared" si="195"/>
        <v>2.5348889931858966E-4</v>
      </c>
      <c r="AN149" s="65">
        <f t="shared" si="205"/>
        <v>2.0153127003083942E-7</v>
      </c>
    </row>
    <row r="150" spans="21:40" x14ac:dyDescent="0.3">
      <c r="V150" s="62">
        <f t="shared" si="196"/>
        <v>588</v>
      </c>
      <c r="W150" s="63">
        <v>630</v>
      </c>
      <c r="X150" s="86">
        <f t="shared" si="189"/>
        <v>1.2473773199999998</v>
      </c>
      <c r="Y150" s="65">
        <f>V150/(1197/$X150)</f>
        <v>0.61274675368421039</v>
      </c>
      <c r="Z150" s="65">
        <f t="shared" si="198"/>
        <v>0.61274675368421039</v>
      </c>
      <c r="AA150" s="65">
        <f t="shared" si="199"/>
        <v>0.13480428581052628</v>
      </c>
      <c r="AB150" s="65">
        <f t="shared" si="190"/>
        <v>0.54186046589531034</v>
      </c>
      <c r="AC150" s="65">
        <f t="shared" si="206"/>
        <v>0.45809592807994443</v>
      </c>
      <c r="AD150" s="65">
        <f t="shared" si="206"/>
        <v>0.12611306554971549</v>
      </c>
      <c r="AE150" s="65">
        <f t="shared" si="191"/>
        <v>0.33202324142716522</v>
      </c>
      <c r="AF150" s="65">
        <f t="shared" si="201"/>
        <v>0.11780370307663104</v>
      </c>
      <c r="AG150" s="65">
        <f t="shared" si="192"/>
        <v>0.10172308166610217</v>
      </c>
      <c r="AH150" s="65">
        <f t="shared" si="202"/>
        <v>7.9402220295402733E-3</v>
      </c>
      <c r="AI150" s="65">
        <f t="shared" si="193"/>
        <v>2.0776829355219305E-2</v>
      </c>
      <c r="AJ150" s="65">
        <f t="shared" si="203"/>
        <v>3.5679198662306137E-4</v>
      </c>
      <c r="AK150" s="65">
        <f t="shared" si="194"/>
        <v>3.1827336848153586E-3</v>
      </c>
      <c r="AL150" s="65">
        <f t="shared" si="204"/>
        <v>1.2024272234910159E-5</v>
      </c>
      <c r="AM150" s="65">
        <f t="shared" si="195"/>
        <v>3.9004194664239911E-4</v>
      </c>
      <c r="AN150" s="65">
        <f t="shared" si="205"/>
        <v>3.2418468620368097E-7</v>
      </c>
    </row>
  </sheetData>
  <mergeCells count="20">
    <mergeCell ref="I2:Q5"/>
    <mergeCell ref="A6:B6"/>
    <mergeCell ref="I6:O8"/>
    <mergeCell ref="Z7:AG13"/>
    <mergeCell ref="A9:B9"/>
    <mergeCell ref="A11:P11"/>
    <mergeCell ref="O12:P12"/>
    <mergeCell ref="O13:P13"/>
    <mergeCell ref="U128:AM128"/>
    <mergeCell ref="A17:T17"/>
    <mergeCell ref="U17:AN17"/>
    <mergeCell ref="AO17:BG17"/>
    <mergeCell ref="A42:T42"/>
    <mergeCell ref="U42:AN42"/>
    <mergeCell ref="AO42:BG42"/>
    <mergeCell ref="A62:T62"/>
    <mergeCell ref="U62:AN62"/>
    <mergeCell ref="AO62:BG62"/>
    <mergeCell ref="U87:AN87"/>
    <mergeCell ref="U108:AN108"/>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9" tint="0.59999389629810485"/>
  </sheetPr>
  <dimension ref="A1:L45"/>
  <sheetViews>
    <sheetView zoomScaleNormal="100" workbookViewId="0">
      <selection sqref="A1:P33"/>
    </sheetView>
  </sheetViews>
  <sheetFormatPr defaultColWidth="9.21875" defaultRowHeight="13.8" x14ac:dyDescent="0.3"/>
  <cols>
    <col min="1" max="1" width="43.21875" style="408" customWidth="1"/>
    <col min="2" max="2" width="7.44140625" style="408" customWidth="1"/>
    <col min="3" max="3" width="8.21875" style="408" customWidth="1"/>
    <col min="4" max="4" width="8.77734375" style="408" customWidth="1"/>
    <col min="5" max="6" width="9.5546875" style="408" customWidth="1"/>
    <col min="7" max="7" width="12.77734375" style="408" customWidth="1"/>
    <col min="8" max="9" width="7.77734375" style="408" customWidth="1"/>
    <col min="10" max="10" width="13.44140625" style="408" customWidth="1"/>
    <col min="11" max="16384" width="9.21875" style="408"/>
  </cols>
  <sheetData>
    <row r="1" spans="1:12" s="407" customFormat="1" ht="58.5" customHeight="1" thickBot="1" x14ac:dyDescent="0.35">
      <c r="A1" s="1370" t="s">
        <v>393</v>
      </c>
      <c r="B1" s="1370"/>
      <c r="C1" s="1370"/>
      <c r="D1" s="1370"/>
      <c r="E1" s="1370"/>
      <c r="F1" s="1370"/>
      <c r="G1" s="1370"/>
      <c r="H1" s="1370"/>
      <c r="I1" s="1370"/>
      <c r="J1" s="1370"/>
      <c r="L1" s="407" t="s">
        <v>394</v>
      </c>
    </row>
    <row r="2" spans="1:12" ht="11.25" hidden="1" customHeight="1" thickBot="1" x14ac:dyDescent="0.35">
      <c r="A2" s="1371"/>
      <c r="B2" s="1371"/>
      <c r="C2" s="1371"/>
      <c r="D2" s="1371"/>
      <c r="E2" s="1371"/>
      <c r="F2" s="1371"/>
      <c r="G2" s="1371"/>
      <c r="H2" s="1371"/>
      <c r="I2" s="1371"/>
      <c r="J2" s="1371"/>
    </row>
    <row r="3" spans="1:12" ht="15.75" customHeight="1" thickTop="1" thickBot="1" x14ac:dyDescent="0.35">
      <c r="A3" s="980" t="s">
        <v>302</v>
      </c>
      <c r="B3" s="1372" t="s">
        <v>303</v>
      </c>
      <c r="C3" s="1373"/>
      <c r="D3" s="1374"/>
      <c r="E3" s="1375" t="s">
        <v>304</v>
      </c>
      <c r="F3" s="1376"/>
      <c r="G3" s="1376"/>
      <c r="H3" s="1376"/>
      <c r="I3" s="1376"/>
      <c r="J3" s="1377"/>
    </row>
    <row r="4" spans="1:12" x14ac:dyDescent="0.3">
      <c r="A4" s="352" t="s">
        <v>305</v>
      </c>
      <c r="B4" s="1378" t="s">
        <v>94</v>
      </c>
      <c r="C4" s="1379"/>
      <c r="D4" s="353"/>
      <c r="E4" s="1432" t="s">
        <v>308</v>
      </c>
      <c r="F4" s="1433"/>
      <c r="G4" s="1433"/>
      <c r="H4" s="1433"/>
      <c r="I4" s="1433"/>
      <c r="J4" s="1434"/>
    </row>
    <row r="5" spans="1:12" ht="14.4" thickBot="1" x14ac:dyDescent="0.35">
      <c r="A5" s="354" t="s">
        <v>307</v>
      </c>
      <c r="B5" s="1365">
        <v>2</v>
      </c>
      <c r="C5" s="1366"/>
      <c r="D5" s="355"/>
      <c r="E5" s="1380" t="s">
        <v>306</v>
      </c>
      <c r="F5" s="1381"/>
      <c r="G5" s="1381"/>
      <c r="H5" s="1381"/>
      <c r="I5" s="1381"/>
      <c r="J5" s="1382"/>
    </row>
    <row r="6" spans="1:12" x14ac:dyDescent="0.3">
      <c r="A6" s="356" t="s">
        <v>309</v>
      </c>
      <c r="B6" s="1328" t="s">
        <v>315</v>
      </c>
      <c r="C6" s="1329"/>
      <c r="D6" s="355"/>
      <c r="E6" s="1430" t="s">
        <v>311</v>
      </c>
      <c r="F6" s="1431"/>
      <c r="G6" s="977" t="s">
        <v>276</v>
      </c>
      <c r="H6" s="977" t="s">
        <v>277</v>
      </c>
      <c r="I6" s="977" t="s">
        <v>278</v>
      </c>
      <c r="J6" s="357" t="s">
        <v>312</v>
      </c>
    </row>
    <row r="7" spans="1:12" x14ac:dyDescent="0.3">
      <c r="A7" s="358" t="s">
        <v>268</v>
      </c>
      <c r="B7" s="1363">
        <v>0.78</v>
      </c>
      <c r="C7" s="1364"/>
      <c r="D7" s="359" t="s">
        <v>395</v>
      </c>
      <c r="E7" s="1347" t="s">
        <v>310</v>
      </c>
      <c r="F7" s="1348"/>
      <c r="G7" s="360" t="str">
        <f>IF(AND($B$4="Summer",$B$5=1,$B$6="No"),((1-(EXP((-(ROUNDUP((($B$16/$B$20)*$B$14),0)/(839/((($B$11^2)*PI()/1000000)-$B$12)))))))),"")</f>
        <v/>
      </c>
      <c r="H7" s="360" t="str">
        <f>IF(AND($B$4="Summer",$B$5=1,$B$6="No"),((1-(EXP((-(ROUNDUP((($B$16/$B$20)*$B$14),0)/(839/((($B$11^2)*PI()/1000000)-$B$12)))))))),"")</f>
        <v/>
      </c>
      <c r="I7" s="360" t="str">
        <f>IF(AND($B$4="Summer",$B$5=1,$B$6="No"),((1-(EXP((-(ROUNDUP((($B$16/$B$20)*$B$14),0)/(839/((($B$11^2)*PI()/1000000)-$B$12)))))))),"")</f>
        <v/>
      </c>
      <c r="J7" s="1351">
        <v>1</v>
      </c>
    </row>
    <row r="8" spans="1:12" x14ac:dyDescent="0.3">
      <c r="A8" s="362"/>
      <c r="B8" s="1355"/>
      <c r="C8" s="1356"/>
      <c r="D8" s="355"/>
      <c r="E8" s="1357" t="s">
        <v>315</v>
      </c>
      <c r="F8" s="1358"/>
      <c r="G8" s="363" t="str">
        <f>IF(AND($B$4="Summer",$B$5=1,$B$6="Yes"),((1-(EXP(((-1+(B7))*(ROUNDUP((($B$16/$B$20)*B14),0)/(839/((($B$11^2)*PI()/1000000)-$B$12)))))))),"")</f>
        <v/>
      </c>
      <c r="H8" s="363" t="str">
        <f>IF(AND($B$4="Summer",$B$5=1,$B$6="Yes"),((1-(EXP(((-1+(B7))*(ROUNDUP((($C$16/$B$20)*B14),0)/(839/((($B$11^2)*PI()/1000000)-$B$12)))))))),"")</f>
        <v/>
      </c>
      <c r="I8" s="363" t="str">
        <f>IF(AND($B$4="Summer",$B$5=1,$B$6="Yes"),((1-(EXP(((-1+(B7))*(ROUNDUP((($D$16/$B$20)*B14),0)/(839/((($B$11^2)*PI()/1000000)-$B$12)))))))),"")</f>
        <v/>
      </c>
      <c r="J8" s="1352"/>
    </row>
    <row r="9" spans="1:12" x14ac:dyDescent="0.3">
      <c r="A9" s="364" t="s">
        <v>316</v>
      </c>
      <c r="B9" s="1359"/>
      <c r="C9" s="1360"/>
      <c r="D9" s="365" t="s">
        <v>67</v>
      </c>
      <c r="E9" s="1347" t="s">
        <v>310</v>
      </c>
      <c r="F9" s="1348"/>
      <c r="G9" s="366" t="str">
        <f>IF(AND($B$4="Summer",$B$5=2,$B$6="No"),((1-(EXP((-(ROUNDUP((($B$17/$B$20)*B14),0)/(1197/((($B$11^2)*PI()/1000000)-$B$12)))))))),"")</f>
        <v/>
      </c>
      <c r="H9" s="366" t="str">
        <f>IF(AND($B$4="Summer",$B$5=2,$B$6="No"),((1-(EXP((-(ROUNDUP((($C$17/$B$20)*B14),0)/(1197/((($B$11^2)*PI()/1000000)-$B$12)))))))),"")</f>
        <v/>
      </c>
      <c r="I9" s="366" t="str">
        <f>IF(AND($B$4="Summer",$B$5=2,$B$6="No"),((1-(EXP((-(ROUNDUP((($D$17/$B$20)*B14),0)/(1197/((($B$11^2)*PI()/1000000)-$B$12)))))))),"")</f>
        <v/>
      </c>
      <c r="J9" s="1361">
        <v>2</v>
      </c>
    </row>
    <row r="10" spans="1:12" x14ac:dyDescent="0.3">
      <c r="A10" s="367"/>
      <c r="B10" s="1427"/>
      <c r="C10" s="1428"/>
      <c r="D10" s="355"/>
      <c r="E10" s="1357" t="s">
        <v>315</v>
      </c>
      <c r="F10" s="1358"/>
      <c r="G10" s="368">
        <f>IF(AND($B$4="Summer",$B$5=2,$B$6="Yes"),((1-(EXP(((-1+(B7))*(ROUNDUP((($B$17/$B$20)*B14),0)/(1197/((($B$11^2)*PI()/1000000)-$B$12)))))))),"")</f>
        <v>2.0390048842419461E-2</v>
      </c>
      <c r="H10" s="368">
        <f>IF(AND($B$4="Summer",$B$5=2,$B$6="Yes"),((1-(EXP(((-1+(B7))*(ROUNDUP((($C$17/$B$20)*B14),0)/(1197/((($B$11^2)*PI()/1000000)-$B$12)))))))),"")</f>
        <v>1.282935273407626E-2</v>
      </c>
      <c r="I10" s="368">
        <f>IF(AND($B$4="Summer",$B$5=2,$B$6="Yes"),((1-(EXP(((-1+(B7))*(ROUNDUP((($D$17/$B$20)*B14),0)/(1197/((($B$11^2)*PI()/1000000)-$B$12)))))))),"")</f>
        <v>2.8609257159906032E-2</v>
      </c>
      <c r="J10" s="1362"/>
    </row>
    <row r="11" spans="1:12" x14ac:dyDescent="0.3">
      <c r="A11" s="369" t="s">
        <v>396</v>
      </c>
      <c r="B11" s="1328">
        <v>191</v>
      </c>
      <c r="C11" s="1329"/>
      <c r="D11" s="355" t="s">
        <v>67</v>
      </c>
      <c r="E11" s="1330" t="s">
        <v>310</v>
      </c>
      <c r="F11" s="1331"/>
      <c r="G11" s="370" t="str">
        <f>IF(AND($B$4="Summer",$B$5=3,$B$6="No"),((1-(EXP((-(ROUNDUP((($B$18/$B$20)*B14),0)/(1458/((($B$11^2)*PI()/1000000)-$B$12)))))))),"")</f>
        <v/>
      </c>
      <c r="H11" s="370" t="str">
        <f>IF(AND($B$4="Summer",$B$5=3,$B$6="No"),((1-(EXP((-(ROUNDUP((($C$18/$B$20)*B14),0)/(1458/((($B$11^2)*PI()/1000000)-$B$12)))))))),"")</f>
        <v/>
      </c>
      <c r="I11" s="370" t="str">
        <f>IF(AND($B$4="Summer",$B$5=3,$B$6="No"),((1-(EXP((-(ROUNDUP((($D$18/$B$20)*B14),0)/(1458/((($B$11^2)*PI()/1000000)-$B$12)))))))),"")</f>
        <v/>
      </c>
      <c r="J11" s="1332">
        <v>3</v>
      </c>
    </row>
    <row r="12" spans="1:12" ht="17.399999999999999" thickBot="1" x14ac:dyDescent="0.35">
      <c r="A12" s="409" t="s">
        <v>397</v>
      </c>
      <c r="B12" s="1334">
        <v>0</v>
      </c>
      <c r="C12" s="1335"/>
      <c r="D12" s="372" t="s">
        <v>321</v>
      </c>
      <c r="E12" s="1336" t="s">
        <v>315</v>
      </c>
      <c r="F12" s="1337"/>
      <c r="G12" s="373" t="str">
        <f>IF(AND($B$4="Summer",$B$5=3,$B$6="Yes"),((1-(EXP(((-1+(B7))*(ROUNDUP((($B$18/$B$20)*B14),0)/(1458/((($B$11^2)*PI()/1000000)-$B$12)))))))),"")</f>
        <v/>
      </c>
      <c r="H12" s="373" t="str">
        <f>IF(AND($B$4="Summer",$B$5=3,$B$6="Yes"),((1-(EXP(((-1+(B7))*(ROUNDUP((($C$18/$B$20)*B14),0)/(1458/((($B$11^2)*PI()/1000000)-$B$12)))))))),"")</f>
        <v/>
      </c>
      <c r="I12" s="373" t="str">
        <f>IF(AND($B$4="Summer",$B$5=3,$B$6="Yes"),((1-(EXP(((-1+(B7))*(ROUNDUP((($D$18/$B$20)*B14),0)/(1458/((($B$11^2)*PI()/1000000)-$B$12)))))))),"")</f>
        <v/>
      </c>
      <c r="J12" s="1333"/>
    </row>
    <row r="13" spans="1:12" ht="17.399999999999999" thickBot="1" x14ac:dyDescent="0.35">
      <c r="A13" s="374" t="s">
        <v>322</v>
      </c>
      <c r="B13" s="1338"/>
      <c r="C13" s="1339"/>
      <c r="D13" s="375" t="s">
        <v>323</v>
      </c>
      <c r="E13" s="1380" t="s">
        <v>306</v>
      </c>
      <c r="F13" s="1381"/>
      <c r="G13" s="1381"/>
      <c r="H13" s="1381"/>
      <c r="I13" s="1381"/>
      <c r="J13" s="1382"/>
    </row>
    <row r="14" spans="1:12" x14ac:dyDescent="0.3">
      <c r="A14" s="376" t="s">
        <v>325</v>
      </c>
      <c r="B14" s="1427">
        <v>1</v>
      </c>
      <c r="C14" s="1428"/>
      <c r="D14" s="377"/>
      <c r="E14" s="1345" t="s">
        <v>311</v>
      </c>
      <c r="F14" s="1346"/>
      <c r="G14" s="976" t="s">
        <v>276</v>
      </c>
      <c r="H14" s="976" t="s">
        <v>277</v>
      </c>
      <c r="I14" s="976" t="s">
        <v>278</v>
      </c>
      <c r="J14" s="378" t="s">
        <v>312</v>
      </c>
    </row>
    <row r="15" spans="1:12" ht="14.4" thickBot="1" x14ac:dyDescent="0.35">
      <c r="A15" s="379" t="s">
        <v>326</v>
      </c>
      <c r="B15" s="380" t="s">
        <v>276</v>
      </c>
      <c r="C15" s="380" t="s">
        <v>327</v>
      </c>
      <c r="D15" s="381" t="s">
        <v>328</v>
      </c>
      <c r="E15" s="1407" t="s">
        <v>310</v>
      </c>
      <c r="F15" s="1408"/>
      <c r="G15" s="382"/>
      <c r="H15" s="382"/>
      <c r="I15" s="382"/>
      <c r="J15" s="1423">
        <v>1</v>
      </c>
    </row>
    <row r="16" spans="1:12" ht="15.75" customHeight="1" x14ac:dyDescent="0.3">
      <c r="A16" s="383" t="s">
        <v>330</v>
      </c>
      <c r="B16" s="384">
        <f>B19*0.53</f>
        <v>3447.1200000000003</v>
      </c>
      <c r="C16" s="384">
        <f>C19*0.53</f>
        <v>2160.2800000000002</v>
      </c>
      <c r="D16" s="384">
        <f>D19*0.53</f>
        <v>4859.5700000000006</v>
      </c>
      <c r="E16" s="1421" t="s">
        <v>315</v>
      </c>
      <c r="F16" s="1422"/>
      <c r="G16" s="385"/>
      <c r="H16" s="385"/>
      <c r="I16" s="385"/>
      <c r="J16" s="1429"/>
      <c r="K16" s="410"/>
    </row>
    <row r="17" spans="1:11" x14ac:dyDescent="0.3">
      <c r="A17" s="358" t="s">
        <v>331</v>
      </c>
      <c r="B17" s="384">
        <f>B19*0.26</f>
        <v>1691.04</v>
      </c>
      <c r="C17" s="384">
        <f>C19*0.26</f>
        <v>1059.76</v>
      </c>
      <c r="D17" s="384">
        <f>D19*0.26</f>
        <v>2383.94</v>
      </c>
      <c r="E17" s="1407" t="s">
        <v>310</v>
      </c>
      <c r="F17" s="1408"/>
      <c r="G17" s="382"/>
      <c r="H17" s="382"/>
      <c r="I17" s="382"/>
      <c r="J17" s="1419">
        <v>2</v>
      </c>
      <c r="K17" s="410"/>
    </row>
    <row r="18" spans="1:11" x14ac:dyDescent="0.3">
      <c r="A18" s="358" t="s">
        <v>333</v>
      </c>
      <c r="B18" s="384">
        <f>B19*0.22</f>
        <v>1430.88</v>
      </c>
      <c r="C18" s="384">
        <f>C19*0.22</f>
        <v>896.72</v>
      </c>
      <c r="D18" s="384">
        <f>D19*0.22</f>
        <v>2017.18</v>
      </c>
      <c r="E18" s="1421" t="s">
        <v>315</v>
      </c>
      <c r="F18" s="1422"/>
      <c r="G18" s="385"/>
      <c r="H18" s="385"/>
      <c r="I18" s="385"/>
      <c r="J18" s="1420"/>
      <c r="K18" s="410"/>
    </row>
    <row r="19" spans="1:11" ht="23.25" customHeight="1" x14ac:dyDescent="0.3">
      <c r="A19" s="386" t="s">
        <v>398</v>
      </c>
      <c r="B19" s="387">
        <v>6504</v>
      </c>
      <c r="C19" s="387">
        <v>4076</v>
      </c>
      <c r="D19" s="388">
        <v>9169</v>
      </c>
      <c r="E19" s="1407" t="s">
        <v>310</v>
      </c>
      <c r="F19" s="1408"/>
      <c r="G19" s="382"/>
      <c r="H19" s="382"/>
      <c r="I19" s="382"/>
      <c r="J19" s="1423">
        <v>3</v>
      </c>
      <c r="K19" s="410"/>
    </row>
    <row r="20" spans="1:11" ht="17.25" customHeight="1" thickBot="1" x14ac:dyDescent="0.35">
      <c r="A20" s="389" t="s">
        <v>399</v>
      </c>
      <c r="B20" s="1318">
        <v>1.73</v>
      </c>
      <c r="C20" s="1318"/>
      <c r="D20" s="1319"/>
      <c r="E20" s="1425" t="s">
        <v>315</v>
      </c>
      <c r="F20" s="1426"/>
      <c r="G20" s="390"/>
      <c r="H20" s="390"/>
      <c r="I20" s="390"/>
      <c r="J20" s="1424"/>
      <c r="K20" s="410"/>
    </row>
    <row r="21" spans="1:11" ht="15" customHeight="1" x14ac:dyDescent="0.3">
      <c r="A21" s="1320" t="s">
        <v>336</v>
      </c>
      <c r="B21" s="1321"/>
      <c r="C21" s="1321"/>
      <c r="D21" s="1322"/>
      <c r="E21" s="1411" t="s">
        <v>324</v>
      </c>
      <c r="F21" s="1412"/>
      <c r="G21" s="1412"/>
      <c r="H21" s="1412"/>
      <c r="I21" s="1412"/>
      <c r="J21" s="1413"/>
    </row>
    <row r="22" spans="1:11" ht="0.75" customHeight="1" thickBot="1" x14ac:dyDescent="0.35">
      <c r="A22" s="1320"/>
      <c r="B22" s="1321"/>
      <c r="C22" s="1321"/>
      <c r="D22" s="1322"/>
      <c r="E22" s="1414"/>
      <c r="F22" s="1415"/>
      <c r="G22" s="1415"/>
      <c r="H22" s="1415"/>
      <c r="I22" s="1415"/>
      <c r="J22" s="1416"/>
    </row>
    <row r="23" spans="1:11" ht="16.5" customHeight="1" thickBot="1" x14ac:dyDescent="0.35">
      <c r="A23" s="1320"/>
      <c r="B23" s="1321"/>
      <c r="C23" s="1321"/>
      <c r="D23" s="1322"/>
      <c r="E23" s="1380" t="s">
        <v>306</v>
      </c>
      <c r="F23" s="1381"/>
      <c r="G23" s="1381"/>
      <c r="H23" s="1381"/>
      <c r="I23" s="1381"/>
      <c r="J23" s="1382"/>
    </row>
    <row r="24" spans="1:11" ht="25.5" customHeight="1" x14ac:dyDescent="0.3">
      <c r="A24" s="1323"/>
      <c r="B24" s="1324"/>
      <c r="C24" s="1324"/>
      <c r="D24" s="1325"/>
      <c r="E24" s="1345" t="s">
        <v>311</v>
      </c>
      <c r="F24" s="1346"/>
      <c r="G24" s="976" t="s">
        <v>276</v>
      </c>
      <c r="H24" s="976" t="s">
        <v>277</v>
      </c>
      <c r="I24" s="976" t="s">
        <v>278</v>
      </c>
      <c r="J24" s="378" t="s">
        <v>312</v>
      </c>
    </row>
    <row r="25" spans="1:11" ht="14.4" thickBot="1" x14ac:dyDescent="0.35">
      <c r="A25" s="391" t="s">
        <v>337</v>
      </c>
      <c r="B25" s="392" t="s">
        <v>276</v>
      </c>
      <c r="C25" s="392" t="s">
        <v>327</v>
      </c>
      <c r="D25" s="393" t="s">
        <v>328</v>
      </c>
      <c r="E25" s="1347" t="s">
        <v>310</v>
      </c>
      <c r="F25" s="1348"/>
      <c r="G25" s="411" t="str">
        <f>IF(AND($B$4="Winter",$B$6="No"),((1-(EXP((-(ROUNDUP(($B$26/$B$27)*B14,0)/(3494/((($B$11^2)*PI()/1000000)-$B$12)))))))),"")</f>
        <v/>
      </c>
      <c r="H25" s="394" t="str">
        <f>IF(AND($B$4="Winter",$B$6="No"),((1-(EXP((-(ROUNDUP(($C$26/$B$27)*B14,0)/(3494/((($B$11^2)*PI()/1000000)-$B$12)))))))),"")</f>
        <v/>
      </c>
      <c r="I25" s="394" t="str">
        <f>IF(AND($B$4="Winter",$B$6="No"),((1-(EXP((-(ROUNDUP(($D$26/$B$27)*B14,0)/(3494/((($B$11^2)*PI()/1000000)-$B$12)))))))),"")</f>
        <v/>
      </c>
      <c r="J25" s="978" t="s">
        <v>329</v>
      </c>
    </row>
    <row r="26" spans="1:11" x14ac:dyDescent="0.3">
      <c r="A26" s="383" t="s">
        <v>338</v>
      </c>
      <c r="B26" s="412">
        <f>ROUNDUP($B$19*$B$28,0)</f>
        <v>11968</v>
      </c>
      <c r="C26" s="412">
        <f>ROUNDUP($C$19*$B$28,0)</f>
        <v>7500</v>
      </c>
      <c r="D26" s="413">
        <f>ROUNDUP($D$19*$B$28,0)</f>
        <v>16871</v>
      </c>
      <c r="E26" s="1417" t="s">
        <v>315</v>
      </c>
      <c r="F26" s="1418"/>
      <c r="G26" s="397" t="str">
        <f>IF(AND($B$4="Winter",$B$6="Yes"),((1-(EXP(((-1+(B7))*(ROUNDUP(($B$26/$B$27)*B14,0)/(3494/((($B$11^2)*PI()/1000000)-$B$12)))))))),"")</f>
        <v/>
      </c>
      <c r="H26" s="397" t="str">
        <f>IF(AND($B$4="Winter",$B$6="Yes"),((1-(EXP(((-1+(B7))*(ROUNDUP(($C$26/$B$27)*B14,0)/(3494/((($B$11^2)*PI()/1000000)-$B$12)))))))),"")</f>
        <v/>
      </c>
      <c r="I26" s="397" t="str">
        <f>IF(AND($B$4="Winter",$B$6="Yes"),((1-(EXP(((-1+(B7))*(ROUNDUP(($D$26/$B$27)*B14,0)/(3494/((($B$11^2)*PI()/1000000)-$B$12)))))))),"")</f>
        <v/>
      </c>
      <c r="J26" s="398" t="s">
        <v>329</v>
      </c>
    </row>
    <row r="27" spans="1:11" ht="15" customHeight="1" thickBot="1" x14ac:dyDescent="0.35">
      <c r="A27" s="399" t="s">
        <v>335</v>
      </c>
      <c r="B27" s="1314">
        <v>1.73</v>
      </c>
      <c r="C27" s="1314"/>
      <c r="D27" s="1315"/>
      <c r="E27" s="1380" t="s">
        <v>306</v>
      </c>
      <c r="F27" s="1381"/>
      <c r="G27" s="1381"/>
      <c r="H27" s="1381"/>
      <c r="I27" s="1381"/>
      <c r="J27" s="1382"/>
    </row>
    <row r="28" spans="1:11" ht="15" customHeight="1" x14ac:dyDescent="0.3">
      <c r="A28" s="389" t="s">
        <v>339</v>
      </c>
      <c r="B28" s="1405">
        <v>1.84</v>
      </c>
      <c r="C28" s="1405"/>
      <c r="D28" s="1406"/>
      <c r="E28" s="1345" t="s">
        <v>311</v>
      </c>
      <c r="F28" s="1346"/>
      <c r="G28" s="976" t="s">
        <v>276</v>
      </c>
      <c r="H28" s="976" t="s">
        <v>277</v>
      </c>
      <c r="I28" s="976" t="s">
        <v>278</v>
      </c>
      <c r="J28" s="400" t="s">
        <v>312</v>
      </c>
    </row>
    <row r="29" spans="1:11" ht="18" customHeight="1" x14ac:dyDescent="0.3">
      <c r="A29" s="1306" t="s">
        <v>400</v>
      </c>
      <c r="B29" s="1307"/>
      <c r="C29" s="1307"/>
      <c r="D29" s="1308"/>
      <c r="E29" s="1407" t="s">
        <v>310</v>
      </c>
      <c r="F29" s="1408"/>
      <c r="G29" s="401"/>
      <c r="H29" s="402"/>
      <c r="I29" s="402"/>
      <c r="J29" s="403" t="s">
        <v>329</v>
      </c>
    </row>
    <row r="30" spans="1:11" ht="16.5" customHeight="1" thickBot="1" x14ac:dyDescent="0.35">
      <c r="A30" s="1309"/>
      <c r="B30" s="1310"/>
      <c r="C30" s="1310"/>
      <c r="D30" s="1311"/>
      <c r="E30" s="1409" t="s">
        <v>315</v>
      </c>
      <c r="F30" s="1410"/>
      <c r="G30" s="404"/>
      <c r="H30" s="405"/>
      <c r="I30" s="405"/>
      <c r="J30" s="406" t="s">
        <v>329</v>
      </c>
    </row>
    <row r="31" spans="1:11" ht="15.75" customHeight="1" thickTop="1" x14ac:dyDescent="0.3">
      <c r="A31" s="1312" t="s">
        <v>341</v>
      </c>
      <c r="B31" s="1312"/>
      <c r="C31" s="1312"/>
      <c r="D31" s="1312"/>
      <c r="E31" s="1312"/>
      <c r="F31" s="1312"/>
      <c r="G31" s="1312"/>
      <c r="H31" s="1312"/>
      <c r="I31" s="1312"/>
      <c r="J31" s="1403"/>
    </row>
    <row r="32" spans="1:11" ht="15" customHeight="1" x14ac:dyDescent="0.3">
      <c r="A32" s="1300" t="s">
        <v>342</v>
      </c>
      <c r="B32" s="1300"/>
      <c r="C32" s="1300"/>
      <c r="D32" s="1300"/>
      <c r="E32" s="1300"/>
      <c r="F32" s="1300"/>
      <c r="J32" s="1299"/>
    </row>
    <row r="33" spans="1:12" ht="11.25" customHeight="1" x14ac:dyDescent="0.3">
      <c r="A33" s="1300"/>
      <c r="B33" s="1300"/>
      <c r="C33" s="1300"/>
      <c r="D33" s="1300"/>
      <c r="E33" s="1300"/>
      <c r="F33" s="1300"/>
      <c r="G33" s="1404" t="s">
        <v>401</v>
      </c>
      <c r="H33" s="1404"/>
      <c r="I33" s="1404"/>
      <c r="J33" s="1299"/>
    </row>
    <row r="35" spans="1:12" x14ac:dyDescent="0.3">
      <c r="A35" s="414" t="s">
        <v>402</v>
      </c>
      <c r="B35" s="408" t="s">
        <v>403</v>
      </c>
    </row>
    <row r="36" spans="1:12" x14ac:dyDescent="0.3">
      <c r="A36" s="408">
        <f>ROUNDUP(B26/B27*B14,0)</f>
        <v>6918</v>
      </c>
      <c r="B36" s="408" t="s">
        <v>404</v>
      </c>
    </row>
    <row r="37" spans="1:12" x14ac:dyDescent="0.3">
      <c r="A37" s="408">
        <f>3494/(((PI()*(B11^2))/1000000)-B12)</f>
        <v>30486.410524003306</v>
      </c>
      <c r="B37" s="408" t="s">
        <v>405</v>
      </c>
      <c r="J37" s="408" t="s">
        <v>406</v>
      </c>
    </row>
    <row r="38" spans="1:12" x14ac:dyDescent="0.3">
      <c r="B38" s="408" t="s">
        <v>407</v>
      </c>
    </row>
    <row r="39" spans="1:12" x14ac:dyDescent="0.3">
      <c r="A39" s="408">
        <f>A36/A37</f>
        <v>0.22692077817928585</v>
      </c>
      <c r="B39" s="408" t="s">
        <v>408</v>
      </c>
    </row>
    <row r="40" spans="1:12" x14ac:dyDescent="0.3">
      <c r="A40" s="408">
        <f>(EXP(-A39))*A39</f>
        <v>0.18085221093844644</v>
      </c>
      <c r="B40" s="408" t="s">
        <v>409</v>
      </c>
      <c r="D40" s="414" t="s">
        <v>410</v>
      </c>
      <c r="F40" s="415"/>
      <c r="G40" s="415"/>
      <c r="H40" s="415"/>
      <c r="I40" s="415"/>
      <c r="J40" s="415"/>
      <c r="K40" s="415"/>
      <c r="L40" s="415"/>
    </row>
    <row r="41" spans="1:12" x14ac:dyDescent="0.3">
      <c r="A41" s="408">
        <f>((EXP(-A39))*A39^2)/2</f>
        <v>2.0519562220798308E-2</v>
      </c>
      <c r="D41" s="414" t="s">
        <v>411</v>
      </c>
      <c r="F41" s="415"/>
      <c r="G41" s="415"/>
      <c r="H41" s="415"/>
      <c r="I41" s="415"/>
      <c r="J41" s="415"/>
      <c r="K41" s="415"/>
      <c r="L41" s="415"/>
    </row>
    <row r="42" spans="1:12" x14ac:dyDescent="0.3">
      <c r="A42" s="408">
        <f>((EXP(-A39))*A39^3)/(3*2)</f>
        <v>1.5521050090139424E-3</v>
      </c>
      <c r="D42" s="414" t="s">
        <v>412</v>
      </c>
      <c r="F42" s="415"/>
      <c r="G42" s="415"/>
      <c r="H42" s="415"/>
      <c r="I42" s="415"/>
      <c r="J42" s="415"/>
      <c r="K42" s="415"/>
      <c r="L42" s="415"/>
    </row>
    <row r="43" spans="1:12" x14ac:dyDescent="0.3">
      <c r="A43" s="408">
        <f>((EXP(-A39))*A39^4)/(4*3*2)</f>
        <v>8.8051219115352816E-5</v>
      </c>
      <c r="D43" s="414" t="s">
        <v>413</v>
      </c>
      <c r="F43" s="415"/>
      <c r="G43" s="415"/>
      <c r="H43" s="415"/>
      <c r="I43" s="415"/>
      <c r="J43" s="415"/>
      <c r="K43" s="415"/>
      <c r="L43" s="415"/>
    </row>
    <row r="44" spans="1:12" x14ac:dyDescent="0.3">
      <c r="A44" s="408">
        <f>((EXP(-A39))*A39^5)/(5*4*3*2)</f>
        <v>3.9961302322581343E-6</v>
      </c>
      <c r="D44" s="414" t="s">
        <v>414</v>
      </c>
      <c r="F44" s="415"/>
      <c r="G44" s="415"/>
      <c r="H44" s="415"/>
      <c r="I44" s="415"/>
      <c r="J44" s="415"/>
      <c r="K44" s="415"/>
      <c r="L44" s="415"/>
    </row>
    <row r="45" spans="1:12" x14ac:dyDescent="0.3">
      <c r="A45" s="416">
        <f>SUM(A40:A44)</f>
        <v>0.2030159255176063</v>
      </c>
      <c r="D45" s="414" t="s">
        <v>415</v>
      </c>
      <c r="E45" s="408" t="s">
        <v>416</v>
      </c>
    </row>
  </sheetData>
  <mergeCells count="55">
    <mergeCell ref="B5:C5"/>
    <mergeCell ref="E5:J5"/>
    <mergeCell ref="A1:J2"/>
    <mergeCell ref="B3:D3"/>
    <mergeCell ref="E3:J3"/>
    <mergeCell ref="B4:C4"/>
    <mergeCell ref="E4:J4"/>
    <mergeCell ref="B6:C6"/>
    <mergeCell ref="E6:F6"/>
    <mergeCell ref="B7:C7"/>
    <mergeCell ref="E7:F7"/>
    <mergeCell ref="J7:J8"/>
    <mergeCell ref="B8:C8"/>
    <mergeCell ref="E8:F8"/>
    <mergeCell ref="B11:C11"/>
    <mergeCell ref="E11:F11"/>
    <mergeCell ref="J11:J12"/>
    <mergeCell ref="B12:C12"/>
    <mergeCell ref="E12:F12"/>
    <mergeCell ref="B9:C9"/>
    <mergeCell ref="E9:F9"/>
    <mergeCell ref="J9:J10"/>
    <mergeCell ref="B10:C10"/>
    <mergeCell ref="E10:F10"/>
    <mergeCell ref="B20:D20"/>
    <mergeCell ref="E20:F20"/>
    <mergeCell ref="B13:C13"/>
    <mergeCell ref="E13:J13"/>
    <mergeCell ref="B14:C14"/>
    <mergeCell ref="E14:F14"/>
    <mergeCell ref="E15:F15"/>
    <mergeCell ref="J15:J16"/>
    <mergeCell ref="E16:F16"/>
    <mergeCell ref="E26:F26"/>
    <mergeCell ref="E17:F17"/>
    <mergeCell ref="J17:J18"/>
    <mergeCell ref="E18:F18"/>
    <mergeCell ref="E19:F19"/>
    <mergeCell ref="J19:J20"/>
    <mergeCell ref="A21:D24"/>
    <mergeCell ref="E21:J22"/>
    <mergeCell ref="E23:J23"/>
    <mergeCell ref="E24:F24"/>
    <mergeCell ref="E25:F25"/>
    <mergeCell ref="A31:I31"/>
    <mergeCell ref="J31:J33"/>
    <mergeCell ref="A32:F33"/>
    <mergeCell ref="G33:I33"/>
    <mergeCell ref="B27:D27"/>
    <mergeCell ref="E27:J27"/>
    <mergeCell ref="B28:D28"/>
    <mergeCell ref="E28:F28"/>
    <mergeCell ref="A29:D30"/>
    <mergeCell ref="E29:F29"/>
    <mergeCell ref="E30:F30"/>
  </mergeCells>
  <dataValidations disablePrompts="1" count="3">
    <dataValidation type="list" allowBlank="1" showInputMessage="1" showErrorMessage="1" sqref="B4:C4" xr:uid="{00000000-0002-0000-0900-000000000000}">
      <formula1>"Summer,Winter"</formula1>
    </dataValidation>
    <dataValidation type="list" allowBlank="1" showInputMessage="1" showErrorMessage="1" sqref="B5:C5" xr:uid="{00000000-0002-0000-0900-000001000000}">
      <formula1>"1,2,3"</formula1>
    </dataValidation>
    <dataValidation type="list" allowBlank="1" showInputMessage="1" showErrorMessage="1" sqref="B6:C6" xr:uid="{00000000-0002-0000-0900-000002000000}">
      <formula1>"Yes,No"</formula1>
    </dataValidation>
  </dataValidations>
  <pageMargins left="0.7" right="0.7" top="0.75" bottom="0.75" header="0.3" footer="0.3"/>
  <pageSetup orientation="landscape"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DocumentLead xmlns="3432ef06-dd22-4aa5-8579-2199bf009f7b">Lee Corum</DocumentLead>
    <Category xmlns="3432ef06-dd22-4aa5-8579-2199bf009f7b">Acoustic Effects</Category>
    <DocumentTitle xmlns="3432ef06-dd22-4aa5-8579-2199bf009f7b">Acoustic Effects Calculators</DocumentTitle>
    <DateUpdated xmlns="3432ef06-dd22-4aa5-8579-2199bf009f7b">2022-08-11T04:00:00+00:00</DateUpdated>
    <AdditionalInfo xmlns="3432ef06-dd22-4aa5-8579-2199bf009f7b">Includes calculators for pile driving effects as well as calculators for in-air and underwater sound attenuation</AdditionalInfo>
    <Sub_x002d_Category xmlns="3432ef06-dd22-4aa5-8579-2199bf009f7b"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5511AE39C22C5E4DB70AFCC9BAC7B5D7" ma:contentTypeVersion="10" ma:contentTypeDescription="Create a new document." ma:contentTypeScope="" ma:versionID="d4edc63187698a9af1371cc836f48e8b">
  <xsd:schema xmlns:xsd="http://www.w3.org/2001/XMLSchema" xmlns:xs="http://www.w3.org/2001/XMLSchema" xmlns:p="http://schemas.microsoft.com/office/2006/metadata/properties" xmlns:ns2="3432ef06-dd22-4aa5-8579-2199bf009f7b" xmlns:ns3="763ecffb-0cee-4733-9130-467afe22961e" targetNamespace="http://schemas.microsoft.com/office/2006/metadata/properties" ma:root="true" ma:fieldsID="dba0b73b71ee455bf972116ebaa4e956" ns2:_="" ns3:_="">
    <xsd:import namespace="3432ef06-dd22-4aa5-8579-2199bf009f7b"/>
    <xsd:import namespace="763ecffb-0cee-4733-9130-467afe22961e"/>
    <xsd:element name="properties">
      <xsd:complexType>
        <xsd:sequence>
          <xsd:element name="documentManagement">
            <xsd:complexType>
              <xsd:all>
                <xsd:element ref="ns2:Category"/>
                <xsd:element ref="ns2:Sub_x002d_Category" minOccurs="0"/>
                <xsd:element ref="ns2:DocumentTitle"/>
                <xsd:element ref="ns2:AdditionalInfo" minOccurs="0"/>
                <xsd:element ref="ns2:DocumentLead"/>
                <xsd:element ref="ns2:DateUpdated"/>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432ef06-dd22-4aa5-8579-2199bf009f7b" elementFormDefault="qualified">
    <xsd:import namespace="http://schemas.microsoft.com/office/2006/documentManagement/types"/>
    <xsd:import namespace="http://schemas.microsoft.com/office/infopath/2007/PartnerControls"/>
    <xsd:element name="Category" ma:index="8" ma:displayName="Category" ma:format="Dropdown" ma:internalName="Category">
      <xsd:simpleType>
        <xsd:restriction base="dms:Text">
          <xsd:maxLength value="255"/>
        </xsd:restriction>
      </xsd:simpleType>
    </xsd:element>
    <xsd:element name="Sub_x002d_Category" ma:index="9" nillable="true" ma:displayName="Sub-Category" ma:format="Dropdown" ma:internalName="Sub_x002d_Category">
      <xsd:simpleType>
        <xsd:restriction base="dms:Text">
          <xsd:maxLength value="255"/>
        </xsd:restriction>
      </xsd:simpleType>
    </xsd:element>
    <xsd:element name="DocumentTitle" ma:index="10" ma:displayName="Document Title" ma:format="Dropdown" ma:internalName="DocumentTitle">
      <xsd:simpleType>
        <xsd:restriction base="dms:Text">
          <xsd:maxLength value="255"/>
        </xsd:restriction>
      </xsd:simpleType>
    </xsd:element>
    <xsd:element name="AdditionalInfo" ma:index="11" nillable="true" ma:displayName="Additional Info" ma:format="Dropdown" ma:internalName="AdditionalInfo">
      <xsd:simpleType>
        <xsd:restriction base="dms:Text">
          <xsd:maxLength value="255"/>
        </xsd:restriction>
      </xsd:simpleType>
    </xsd:element>
    <xsd:element name="DocumentLead" ma:index="12" ma:displayName="Document Lead" ma:format="Dropdown" ma:internalName="DocumentLead">
      <xsd:simpleType>
        <xsd:restriction base="dms:Text">
          <xsd:maxLength value="255"/>
        </xsd:restriction>
      </xsd:simpleType>
    </xsd:element>
    <xsd:element name="DateUpdated" ma:index="13" ma:displayName="Date Updated" ma:format="DateOnly" ma:internalName="DateUpdated">
      <xsd:simpleType>
        <xsd:restriction base="dms:DateTime"/>
      </xsd:simpleType>
    </xsd:element>
    <xsd:element name="MediaServiceMetadata" ma:index="14" nillable="true" ma:displayName="MediaServiceMetadata" ma:hidden="true" ma:internalName="MediaServiceMetadata" ma:readOnly="true">
      <xsd:simpleType>
        <xsd:restriction base="dms:Note"/>
      </xsd:simpleType>
    </xsd:element>
    <xsd:element name="MediaServiceFastMetadata" ma:index="15"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63ecffb-0cee-4733-9130-467afe22961e"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B5DC966-8B03-4F62-A975-73CA6B29464C}">
  <ds:schemaRefs>
    <ds:schemaRef ds:uri="3432ef06-dd22-4aa5-8579-2199bf009f7b"/>
    <ds:schemaRef ds:uri="http://www.w3.org/XML/1998/namespace"/>
    <ds:schemaRef ds:uri="http://schemas.microsoft.com/office/2006/documentManagement/types"/>
    <ds:schemaRef ds:uri="http://schemas.microsoft.com/office/2006/metadata/properties"/>
    <ds:schemaRef ds:uri="http://purl.org/dc/elements/1.1/"/>
    <ds:schemaRef ds:uri="http://purl.org/dc/dcmitype/"/>
    <ds:schemaRef ds:uri="http://schemas.microsoft.com/office/infopath/2007/PartnerControls"/>
    <ds:schemaRef ds:uri="http://schemas.openxmlformats.org/package/2006/metadata/core-properties"/>
    <ds:schemaRef ds:uri="763ecffb-0cee-4733-9130-467afe22961e"/>
    <ds:schemaRef ds:uri="http://purl.org/dc/terms/"/>
  </ds:schemaRefs>
</ds:datastoreItem>
</file>

<file path=customXml/itemProps2.xml><?xml version="1.0" encoding="utf-8"?>
<ds:datastoreItem xmlns:ds="http://schemas.openxmlformats.org/officeDocument/2006/customXml" ds:itemID="{C9EAB91C-E7B6-431E-BBCA-7F93DF68F019}">
  <ds:schemaRefs>
    <ds:schemaRef ds:uri="http://schemas.microsoft.com/sharepoint/v3/contenttype/forms"/>
  </ds:schemaRefs>
</ds:datastoreItem>
</file>

<file path=customXml/itemProps3.xml><?xml version="1.0" encoding="utf-8"?>
<ds:datastoreItem xmlns:ds="http://schemas.openxmlformats.org/officeDocument/2006/customXml" ds:itemID="{726F3E32-28B6-43B7-A679-BAC7113B612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432ef06-dd22-4aa5-8579-2199bf009f7b"/>
    <ds:schemaRef ds:uri="763ecffb-0cee-4733-9130-467afe22961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15</vt:i4>
      </vt:variant>
    </vt:vector>
  </HeadingPairs>
  <TitlesOfParts>
    <vt:vector size="32" baseType="lpstr">
      <vt:lpstr>Pile Driving Instructions</vt:lpstr>
      <vt:lpstr>Pile Driving Data and Effects</vt:lpstr>
      <vt:lpstr>In-air Sound Attenuation</vt:lpstr>
      <vt:lpstr>Underwater Sound Attenuation</vt:lpstr>
      <vt:lpstr>sensitivity</vt:lpstr>
      <vt:lpstr>Conceptual Model</vt:lpstr>
      <vt:lpstr>MULTIPLE PULSE CALC</vt:lpstr>
      <vt:lpstr>MULTIPLE PULSE MATRICES</vt:lpstr>
      <vt:lpstr>SINGLE PULSE CALC</vt:lpstr>
      <vt:lpstr>SINGLE PULSE MATRICES</vt:lpstr>
      <vt:lpstr>Only FWS MaMu Lead&gt;</vt:lpstr>
      <vt:lpstr>MaMu Density</vt:lpstr>
      <vt:lpstr>Old_Pop Data</vt:lpstr>
      <vt:lpstr>Only FWS Bioacoustics Lead&gt;</vt:lpstr>
      <vt:lpstr>Cumulative Prob</vt:lpstr>
      <vt:lpstr>Pile Data</vt:lpstr>
      <vt:lpstr>Drop-down menu info</vt:lpstr>
      <vt:lpstr>Concrete</vt:lpstr>
      <vt:lpstr>H</vt:lpstr>
      <vt:lpstr>Hollow</vt:lpstr>
      <vt:lpstr>Octagonal</vt:lpstr>
      <vt:lpstr>Pipe</vt:lpstr>
      <vt:lpstr>Plastic</vt:lpstr>
      <vt:lpstr>'In-air Sound Attenuation'!Print_Area</vt:lpstr>
      <vt:lpstr>Sheet</vt:lpstr>
      <vt:lpstr>SolidOctagonal</vt:lpstr>
      <vt:lpstr>Square</vt:lpstr>
      <vt:lpstr>Steel</vt:lpstr>
      <vt:lpstr>UnspecifiedConc</vt:lpstr>
      <vt:lpstr>UnspecifiedPlas</vt:lpstr>
      <vt:lpstr>UnspecifiedWood</vt:lpstr>
      <vt:lpstr>Wood</vt:lpstr>
    </vt:vector>
  </TitlesOfParts>
  <Manager/>
  <Company>U.S. Fish &amp; Wildlife Service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Lee Corum</dc:creator>
  <cp:keywords/>
  <dc:description/>
  <cp:lastModifiedBy>Pruitt, Elizabeth (Nami)</cp:lastModifiedBy>
  <cp:revision/>
  <dcterms:created xsi:type="dcterms:W3CDTF">2015-09-21T18:43:13Z</dcterms:created>
  <dcterms:modified xsi:type="dcterms:W3CDTF">2024-12-04T18:10:57Z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0x0101005511AE39C22C5E4DB70AFCC9BAC7B5D7</vt:lpwstr>
  </property>
  <property fmtid="{D5CDD505-2E9C-101B-9397-08002B2CF9AE}" pid="3" name="_dlc_DocIdItemGuid">
    <vt:lpwstr>6f87a9f0-6e47-4a8b-9726-347ff70448b8</vt:lpwstr>
  </property>
</Properties>
</file>